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8_{C3F1EA01-C8A6-4C7D-B193-7FF8B45AD87D}" xr6:coauthVersionLast="47" xr6:coauthVersionMax="47" xr10:uidLastSave="{00000000-0000-0000-0000-000000000000}"/>
  <bookViews>
    <workbookView xWindow="-120" yWindow="-120" windowWidth="29040" windowHeight="15720" activeTab="11" xr2:uid="{00000000-000D-0000-FFFF-FFFF00000000}"/>
  </bookViews>
  <sheets>
    <sheet name="Apr19" sheetId="1" r:id="rId1"/>
    <sheet name="May19" sheetId="3" r:id="rId2"/>
    <sheet name="Jun19" sheetId="5" r:id="rId3"/>
    <sheet name="July19" sheetId="7" r:id="rId4"/>
    <sheet name="Aug19" sheetId="9" r:id="rId5"/>
    <sheet name="Sept19" sheetId="11" r:id="rId6"/>
    <sheet name="Oct.19" sheetId="13" r:id="rId7"/>
    <sheet name="Nov.19" sheetId="15" r:id="rId8"/>
    <sheet name="Dec19" sheetId="20" r:id="rId9"/>
    <sheet name="Jan20" sheetId="22" r:id="rId10"/>
    <sheet name="Feb.20" sheetId="26" r:id="rId11"/>
    <sheet name="Mar20" sheetId="28" r:id="rId12"/>
  </sheets>
  <externalReferences>
    <externalReference r:id="rId13"/>
  </externalReferences>
  <definedNames>
    <definedName name="_xlnm.Print_Titles" localSheetId="0">'Apr19'!$4:$4</definedName>
    <definedName name="_xlnm.Print_Titles" localSheetId="4">'Aug19'!$4:$4</definedName>
    <definedName name="_xlnm.Print_Titles" localSheetId="10">Feb.20!$4:$4</definedName>
    <definedName name="_xlnm.Print_Titles" localSheetId="9">'Jan20'!$4:$4</definedName>
    <definedName name="_xlnm.Print_Titles" localSheetId="3">July19!$4:$4</definedName>
    <definedName name="_xlnm.Print_Titles" localSheetId="2">'Jun19'!$4:$4</definedName>
    <definedName name="_xlnm.Print_Titles" localSheetId="1">'May19'!$4:$4</definedName>
    <definedName name="_xlnm.Print_Titles" localSheetId="6">Oct.19!$4:$4</definedName>
    <definedName name="_xlnm.Print_Titles" localSheetId="5">Sept19!$4:$4</definedName>
  </definedNames>
  <calcPr calcId="191029"/>
</workbook>
</file>

<file path=xl/calcChain.xml><?xml version="1.0" encoding="utf-8"?>
<calcChain xmlns="http://schemas.openxmlformats.org/spreadsheetml/2006/main">
  <c r="G102" i="22" l="1"/>
  <c r="G48" i="22"/>
  <c r="N34" i="22"/>
  <c r="K34" i="22"/>
  <c r="O33" i="22"/>
  <c r="M33" i="22"/>
  <c r="L33" i="22"/>
  <c r="K33" i="22"/>
  <c r="I33" i="22"/>
  <c r="G33" i="22"/>
  <c r="D33" i="22"/>
  <c r="G30" i="22"/>
  <c r="Q124" i="22"/>
  <c r="E63" i="22" l="1"/>
  <c r="F63" i="22"/>
  <c r="G63" i="22"/>
  <c r="H63" i="22"/>
  <c r="I63" i="22"/>
  <c r="J63" i="22"/>
  <c r="K63" i="22"/>
  <c r="L63" i="22"/>
  <c r="M63" i="22"/>
  <c r="N63" i="22"/>
  <c r="O63" i="22"/>
  <c r="P63" i="22"/>
  <c r="D63" i="22"/>
  <c r="R24" i="22" l="1"/>
  <c r="R23" i="22" s="1"/>
  <c r="S24" i="22"/>
  <c r="S23" i="22" s="1"/>
  <c r="Q21" i="22"/>
  <c r="Q129" i="22"/>
  <c r="Q130" i="22" s="1"/>
  <c r="Q122" i="22"/>
  <c r="C122" i="22"/>
  <c r="Q115" i="22"/>
  <c r="Q113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Q110" i="22"/>
  <c r="Q111" i="22" s="1"/>
  <c r="P109" i="22"/>
  <c r="O109" i="22"/>
  <c r="M109" i="22"/>
  <c r="L109" i="22"/>
  <c r="K109" i="22"/>
  <c r="J109" i="22"/>
  <c r="I109" i="22"/>
  <c r="H109" i="22"/>
  <c r="G109" i="22"/>
  <c r="F109" i="22"/>
  <c r="E109" i="22"/>
  <c r="D109" i="22"/>
  <c r="P108" i="22"/>
  <c r="O108" i="22"/>
  <c r="M108" i="22"/>
  <c r="L108" i="22"/>
  <c r="K108" i="22"/>
  <c r="J108" i="22"/>
  <c r="I108" i="22"/>
  <c r="H108" i="22"/>
  <c r="F108" i="22"/>
  <c r="E108" i="22"/>
  <c r="D108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Q105" i="22"/>
  <c r="Q106" i="22" s="1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Q102" i="22"/>
  <c r="Q103" i="22" s="1"/>
  <c r="Q100" i="22"/>
  <c r="Q97" i="22"/>
  <c r="Q90" i="22"/>
  <c r="Q75" i="22"/>
  <c r="Q67" i="22"/>
  <c r="Q133" i="22" s="1"/>
  <c r="Q134" i="22" s="1"/>
  <c r="P57" i="22"/>
  <c r="P58" i="22" s="1"/>
  <c r="O57" i="22"/>
  <c r="O58" i="22" s="1"/>
  <c r="N57" i="22"/>
  <c r="M57" i="22"/>
  <c r="L57" i="22"/>
  <c r="L58" i="22" s="1"/>
  <c r="K57" i="22"/>
  <c r="K58" i="22" s="1"/>
  <c r="J57" i="22"/>
  <c r="I57" i="22"/>
  <c r="H57" i="22"/>
  <c r="H58" i="22" s="1"/>
  <c r="G57" i="22"/>
  <c r="G58" i="22" s="1"/>
  <c r="F57" i="22"/>
  <c r="E57" i="22"/>
  <c r="D57" i="22"/>
  <c r="Q56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P51" i="22"/>
  <c r="O51" i="22"/>
  <c r="N51" i="22"/>
  <c r="M51" i="22"/>
  <c r="L51" i="22"/>
  <c r="K51" i="22"/>
  <c r="J51" i="22"/>
  <c r="I51" i="22"/>
  <c r="H51" i="22"/>
  <c r="F51" i="22"/>
  <c r="F53" i="22" s="1"/>
  <c r="E51" i="22"/>
  <c r="D51" i="22"/>
  <c r="P50" i="22"/>
  <c r="P112" i="22" s="1"/>
  <c r="O50" i="22"/>
  <c r="O112" i="22" s="1"/>
  <c r="N50" i="22"/>
  <c r="M50" i="22"/>
  <c r="M112" i="22" s="1"/>
  <c r="L50" i="22"/>
  <c r="L112" i="22" s="1"/>
  <c r="K50" i="22"/>
  <c r="K112" i="22" s="1"/>
  <c r="J50" i="22"/>
  <c r="J112" i="22" s="1"/>
  <c r="I50" i="22"/>
  <c r="I112" i="22" s="1"/>
  <c r="H50" i="22"/>
  <c r="H112" i="22" s="1"/>
  <c r="F50" i="22"/>
  <c r="F112" i="22" s="1"/>
  <c r="E50" i="22"/>
  <c r="E112" i="22" s="1"/>
  <c r="D50" i="22"/>
  <c r="D112" i="22" s="1"/>
  <c r="Q49" i="22"/>
  <c r="Q48" i="22"/>
  <c r="G50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Q46" i="22"/>
  <c r="Q47" i="22" s="1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P43" i="22"/>
  <c r="O43" i="22"/>
  <c r="N43" i="22"/>
  <c r="M43" i="22"/>
  <c r="L43" i="22"/>
  <c r="K43" i="22"/>
  <c r="J43" i="22"/>
  <c r="I43" i="22"/>
  <c r="H43" i="22"/>
  <c r="F43" i="22"/>
  <c r="E43" i="22"/>
  <c r="D43" i="22"/>
  <c r="D45" i="22" s="1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Q41" i="22"/>
  <c r="Q44" i="22" s="1"/>
  <c r="Q40" i="22"/>
  <c r="Q43" i="22" s="1"/>
  <c r="G43" i="22"/>
  <c r="P35" i="22"/>
  <c r="O35" i="22"/>
  <c r="K35" i="22"/>
  <c r="J35" i="22"/>
  <c r="I35" i="22"/>
  <c r="H35" i="22"/>
  <c r="G35" i="22"/>
  <c r="F35" i="22"/>
  <c r="E35" i="22"/>
  <c r="Q34" i="22"/>
  <c r="N35" i="22"/>
  <c r="M35" i="22"/>
  <c r="L35" i="22"/>
  <c r="D35" i="22"/>
  <c r="P32" i="22"/>
  <c r="O32" i="22"/>
  <c r="N32" i="22"/>
  <c r="M32" i="22"/>
  <c r="L32" i="22"/>
  <c r="K32" i="22"/>
  <c r="J32" i="22"/>
  <c r="I32" i="22"/>
  <c r="H32" i="22"/>
  <c r="F32" i="22"/>
  <c r="E32" i="22"/>
  <c r="D32" i="22"/>
  <c r="Q31" i="22"/>
  <c r="Q30" i="22"/>
  <c r="G32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Q27" i="22"/>
  <c r="Q26" i="22"/>
  <c r="Q25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Q16" i="22"/>
  <c r="P15" i="22"/>
  <c r="P65" i="22" s="1"/>
  <c r="O15" i="22"/>
  <c r="O65" i="22" s="1"/>
  <c r="N15" i="22"/>
  <c r="M15" i="22"/>
  <c r="M65" i="22" s="1"/>
  <c r="L15" i="22"/>
  <c r="L65" i="22" s="1"/>
  <c r="K15" i="22"/>
  <c r="K65" i="22" s="1"/>
  <c r="J15" i="22"/>
  <c r="J65" i="22" s="1"/>
  <c r="I15" i="22"/>
  <c r="I65" i="22" s="1"/>
  <c r="H15" i="22"/>
  <c r="H65" i="22" s="1"/>
  <c r="G15" i="22"/>
  <c r="G65" i="22" s="1"/>
  <c r="F15" i="22"/>
  <c r="F65" i="22" s="1"/>
  <c r="E15" i="22"/>
  <c r="E65" i="22" s="1"/>
  <c r="D15" i="22"/>
  <c r="D65" i="22" s="1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Q12" i="22"/>
  <c r="Q11" i="22"/>
  <c r="P9" i="22"/>
  <c r="P10" i="22" s="1"/>
  <c r="O9" i="22"/>
  <c r="O24" i="22" s="1"/>
  <c r="O23" i="22" s="1"/>
  <c r="N9" i="22"/>
  <c r="M9" i="22"/>
  <c r="L9" i="22"/>
  <c r="L10" i="22" s="1"/>
  <c r="K9" i="22"/>
  <c r="K24" i="22" s="1"/>
  <c r="K23" i="22" s="1"/>
  <c r="J9" i="22"/>
  <c r="J24" i="22" s="1"/>
  <c r="J23" i="22" s="1"/>
  <c r="I9" i="22"/>
  <c r="H9" i="22"/>
  <c r="H10" i="22" s="1"/>
  <c r="G9" i="22"/>
  <c r="G24" i="22" s="1"/>
  <c r="G23" i="22" s="1"/>
  <c r="F9" i="22"/>
  <c r="F24" i="22" s="1"/>
  <c r="F23" i="22" s="1"/>
  <c r="E9" i="22"/>
  <c r="E10" i="22" s="1"/>
  <c r="D9" i="22"/>
  <c r="Q8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Q6" i="22"/>
  <c r="Q5" i="22"/>
  <c r="L63" i="20"/>
  <c r="H63" i="20"/>
  <c r="D53" i="22" l="1"/>
  <c r="E53" i="22"/>
  <c r="G45" i="22"/>
  <c r="E45" i="22"/>
  <c r="F45" i="22"/>
  <c r="N10" i="22"/>
  <c r="N24" i="22"/>
  <c r="I10" i="22"/>
  <c r="I24" i="22"/>
  <c r="I23" i="22" s="1"/>
  <c r="M10" i="22"/>
  <c r="M24" i="22"/>
  <c r="M23" i="22" s="1"/>
  <c r="D10" i="22"/>
  <c r="D24" i="22"/>
  <c r="D23" i="22" s="1"/>
  <c r="Q109" i="22"/>
  <c r="D36" i="22"/>
  <c r="D37" i="22" s="1"/>
  <c r="N23" i="22"/>
  <c r="N45" i="22"/>
  <c r="L53" i="22"/>
  <c r="P53" i="22"/>
  <c r="P66" i="22" s="1"/>
  <c r="F10" i="22"/>
  <c r="F66" i="22"/>
  <c r="J45" i="22"/>
  <c r="H53" i="22"/>
  <c r="H66" i="22" s="1"/>
  <c r="Q22" i="22"/>
  <c r="N17" i="22"/>
  <c r="N68" i="22" s="1"/>
  <c r="I36" i="22"/>
  <c r="I37" i="22" s="1"/>
  <c r="J17" i="22"/>
  <c r="J68" i="22" s="1"/>
  <c r="L36" i="22"/>
  <c r="P36" i="22"/>
  <c r="P54" i="22" s="1"/>
  <c r="P55" i="22" s="1"/>
  <c r="O53" i="22"/>
  <c r="O66" i="22" s="1"/>
  <c r="K10" i="22"/>
  <c r="F17" i="22"/>
  <c r="F68" i="22" s="1"/>
  <c r="D20" i="22"/>
  <c r="H20" i="22"/>
  <c r="L20" i="22"/>
  <c r="P20" i="22"/>
  <c r="Q32" i="22"/>
  <c r="K53" i="22"/>
  <c r="K66" i="22" s="1"/>
  <c r="Q57" i="22"/>
  <c r="Q58" i="22" s="1"/>
  <c r="J10" i="22"/>
  <c r="P17" i="22"/>
  <c r="P68" i="22" s="1"/>
  <c r="Q108" i="22"/>
  <c r="J53" i="22"/>
  <c r="J66" i="22" s="1"/>
  <c r="N53" i="22"/>
  <c r="Q52" i="22"/>
  <c r="I53" i="22"/>
  <c r="I66" i="22" s="1"/>
  <c r="M53" i="22"/>
  <c r="M66" i="22" s="1"/>
  <c r="I45" i="22"/>
  <c r="M45" i="22"/>
  <c r="H45" i="22"/>
  <c r="L45" i="22"/>
  <c r="P45" i="22"/>
  <c r="K45" i="22"/>
  <c r="O45" i="22"/>
  <c r="Q42" i="22"/>
  <c r="Q45" i="22" s="1"/>
  <c r="H36" i="22"/>
  <c r="H60" i="22" s="1"/>
  <c r="H62" i="22" s="1"/>
  <c r="F36" i="22"/>
  <c r="F60" i="22" s="1"/>
  <c r="F62" i="22" s="1"/>
  <c r="G36" i="22"/>
  <c r="G60" i="22" s="1"/>
  <c r="G62" i="22" s="1"/>
  <c r="E36" i="22"/>
  <c r="E37" i="22" s="1"/>
  <c r="J36" i="22"/>
  <c r="J37" i="22" s="1"/>
  <c r="O36" i="22"/>
  <c r="O54" i="22" s="1"/>
  <c r="O55" i="22" s="1"/>
  <c r="M36" i="22"/>
  <c r="K36" i="22"/>
  <c r="Q28" i="22"/>
  <c r="Q19" i="22"/>
  <c r="E20" i="22"/>
  <c r="I20" i="22"/>
  <c r="M20" i="22"/>
  <c r="H17" i="22"/>
  <c r="H68" i="22" s="1"/>
  <c r="E66" i="22"/>
  <c r="D17" i="22"/>
  <c r="D68" i="22" s="1"/>
  <c r="L17" i="22"/>
  <c r="L68" i="22" s="1"/>
  <c r="D66" i="22"/>
  <c r="Q13" i="22"/>
  <c r="L66" i="22"/>
  <c r="G20" i="22"/>
  <c r="K20" i="22"/>
  <c r="O20" i="22"/>
  <c r="G10" i="22"/>
  <c r="O10" i="22"/>
  <c r="F20" i="22"/>
  <c r="J20" i="22"/>
  <c r="N20" i="22"/>
  <c r="P24" i="22"/>
  <c r="P23" i="22" s="1"/>
  <c r="Q7" i="22"/>
  <c r="G112" i="22"/>
  <c r="G101" i="22"/>
  <c r="N36" i="22"/>
  <c r="Q14" i="22"/>
  <c r="E24" i="22"/>
  <c r="E23" i="22" s="1"/>
  <c r="G17" i="22"/>
  <c r="G68" i="22" s="1"/>
  <c r="K17" i="22"/>
  <c r="K68" i="22" s="1"/>
  <c r="O17" i="22"/>
  <c r="O68" i="22" s="1"/>
  <c r="Q18" i="22"/>
  <c r="H24" i="22"/>
  <c r="H23" i="22" s="1"/>
  <c r="L24" i="22"/>
  <c r="L23" i="22" s="1"/>
  <c r="Q50" i="22"/>
  <c r="Q91" i="22" s="1"/>
  <c r="G51" i="22"/>
  <c r="G53" i="22" s="1"/>
  <c r="G66" i="22" s="1"/>
  <c r="F58" i="22"/>
  <c r="J58" i="22"/>
  <c r="N58" i="22"/>
  <c r="E101" i="22"/>
  <c r="I101" i="22"/>
  <c r="M101" i="22"/>
  <c r="E58" i="22"/>
  <c r="I58" i="22"/>
  <c r="M58" i="22"/>
  <c r="D101" i="22"/>
  <c r="H101" i="22"/>
  <c r="L101" i="22"/>
  <c r="P101" i="22"/>
  <c r="G108" i="22"/>
  <c r="Q9" i="22"/>
  <c r="Q24" i="22" s="1"/>
  <c r="Q23" i="22" s="1"/>
  <c r="Q15" i="22"/>
  <c r="E17" i="22"/>
  <c r="E68" i="22" s="1"/>
  <c r="I17" i="22"/>
  <c r="I68" i="22" s="1"/>
  <c r="M17" i="22"/>
  <c r="M68" i="22" s="1"/>
  <c r="Q33" i="22"/>
  <c r="Q35" i="22" s="1"/>
  <c r="Q98" i="22" s="1"/>
  <c r="Q51" i="22"/>
  <c r="D58" i="22"/>
  <c r="K101" i="22"/>
  <c r="O101" i="22"/>
  <c r="F101" i="22"/>
  <c r="J101" i="22"/>
  <c r="D60" i="22" l="1"/>
  <c r="D62" i="22" s="1"/>
  <c r="L37" i="22"/>
  <c r="K54" i="22"/>
  <c r="K55" i="22" s="1"/>
  <c r="M54" i="22"/>
  <c r="M55" i="22" s="1"/>
  <c r="J59" i="22"/>
  <c r="D54" i="22"/>
  <c r="D55" i="22" s="1"/>
  <c r="K37" i="22"/>
  <c r="K38" i="22" s="1"/>
  <c r="I60" i="22"/>
  <c r="I62" i="22" s="1"/>
  <c r="L54" i="22"/>
  <c r="L55" i="22" s="1"/>
  <c r="I54" i="22"/>
  <c r="I55" i="22" s="1"/>
  <c r="H37" i="22"/>
  <c r="H38" i="22" s="1"/>
  <c r="G37" i="22"/>
  <c r="G38" i="22" s="1"/>
  <c r="K59" i="22"/>
  <c r="L59" i="22"/>
  <c r="P60" i="22"/>
  <c r="P62" i="22" s="1"/>
  <c r="N59" i="22"/>
  <c r="L38" i="22"/>
  <c r="J38" i="22"/>
  <c r="D59" i="22"/>
  <c r="F54" i="22"/>
  <c r="F55" i="22" s="1"/>
  <c r="J54" i="22"/>
  <c r="J55" i="22" s="1"/>
  <c r="H54" i="22"/>
  <c r="H55" i="22" s="1"/>
  <c r="G59" i="22"/>
  <c r="I38" i="22"/>
  <c r="P37" i="22"/>
  <c r="P38" i="22" s="1"/>
  <c r="L60" i="22"/>
  <c r="L62" i="22" s="1"/>
  <c r="F59" i="22"/>
  <c r="P59" i="22"/>
  <c r="O59" i="22"/>
  <c r="E54" i="22"/>
  <c r="E55" i="22" s="1"/>
  <c r="F37" i="22"/>
  <c r="F38" i="22" s="1"/>
  <c r="E60" i="22"/>
  <c r="E62" i="22" s="1"/>
  <c r="K60" i="22"/>
  <c r="K62" i="22" s="1"/>
  <c r="M60" i="22"/>
  <c r="M62" i="22" s="1"/>
  <c r="G54" i="22"/>
  <c r="G55" i="22" s="1"/>
  <c r="Q36" i="22"/>
  <c r="Q74" i="22" s="1"/>
  <c r="J60" i="22"/>
  <c r="J62" i="22" s="1"/>
  <c r="O37" i="22"/>
  <c r="O38" i="22" s="1"/>
  <c r="M37" i="22"/>
  <c r="M38" i="22" s="1"/>
  <c r="O60" i="22"/>
  <c r="O62" i="22" s="1"/>
  <c r="H59" i="22"/>
  <c r="D38" i="22"/>
  <c r="E59" i="22"/>
  <c r="Q20" i="22"/>
  <c r="I59" i="22"/>
  <c r="Q65" i="22"/>
  <c r="Q17" i="22"/>
  <c r="N60" i="22"/>
  <c r="N62" i="22" s="1"/>
  <c r="N37" i="22"/>
  <c r="N38" i="22" s="1"/>
  <c r="N54" i="22"/>
  <c r="N55" i="22" s="1"/>
  <c r="Q53" i="22"/>
  <c r="Q66" i="22" s="1"/>
  <c r="Q112" i="22"/>
  <c r="Q101" i="22"/>
  <c r="M59" i="22"/>
  <c r="E38" i="22"/>
  <c r="Q10" i="22"/>
  <c r="G102" i="20"/>
  <c r="G48" i="20"/>
  <c r="G40" i="20"/>
  <c r="N34" i="20"/>
  <c r="M33" i="20"/>
  <c r="L33" i="20"/>
  <c r="K34" i="20"/>
  <c r="K33" i="20"/>
  <c r="G33" i="20"/>
  <c r="D33" i="20"/>
  <c r="G30" i="20"/>
  <c r="R28" i="15"/>
  <c r="R37" i="15"/>
  <c r="E63" i="20"/>
  <c r="F63" i="20"/>
  <c r="G63" i="20"/>
  <c r="I63" i="20"/>
  <c r="J63" i="20"/>
  <c r="K63" i="20"/>
  <c r="M63" i="20"/>
  <c r="N63" i="20"/>
  <c r="O63" i="20"/>
  <c r="P63" i="20"/>
  <c r="D63" i="20"/>
  <c r="Q131" i="22" l="1"/>
  <c r="Q63" i="22" s="1"/>
  <c r="Q84" i="22"/>
  <c r="Q60" i="22"/>
  <c r="Q62" i="22" s="1"/>
  <c r="Q54" i="22"/>
  <c r="Q55" i="22" s="1"/>
  <c r="Q37" i="22"/>
  <c r="Q38" i="22" s="1"/>
  <c r="Q135" i="22"/>
  <c r="Q136" i="22"/>
  <c r="Q59" i="22"/>
  <c r="Q68" i="22"/>
  <c r="R24" i="20"/>
  <c r="R23" i="20" s="1"/>
  <c r="S24" i="20"/>
  <c r="S23" i="20" s="1"/>
  <c r="Q129" i="20"/>
  <c r="Q130" i="20" s="1"/>
  <c r="Q124" i="20"/>
  <c r="Q122" i="20"/>
  <c r="C122" i="20"/>
  <c r="Q115" i="20"/>
  <c r="Q113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D111" i="20"/>
  <c r="Q110" i="20"/>
  <c r="Q111" i="20" s="1"/>
  <c r="P109" i="20"/>
  <c r="O109" i="20"/>
  <c r="N109" i="20"/>
  <c r="M109" i="20"/>
  <c r="L109" i="20"/>
  <c r="K109" i="20"/>
  <c r="J109" i="20"/>
  <c r="I109" i="20"/>
  <c r="H109" i="20"/>
  <c r="G109" i="20"/>
  <c r="F109" i="20"/>
  <c r="E109" i="20"/>
  <c r="D109" i="20"/>
  <c r="P108" i="20"/>
  <c r="O108" i="20"/>
  <c r="N108" i="20"/>
  <c r="M108" i="20"/>
  <c r="L108" i="20"/>
  <c r="K108" i="20"/>
  <c r="J108" i="20"/>
  <c r="I108" i="20"/>
  <c r="H108" i="20"/>
  <c r="F108" i="20"/>
  <c r="E108" i="20"/>
  <c r="D108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Q105" i="20"/>
  <c r="Q106" i="20" s="1"/>
  <c r="P103" i="20"/>
  <c r="O103" i="20"/>
  <c r="N103" i="20"/>
  <c r="M103" i="20"/>
  <c r="L103" i="20"/>
  <c r="K103" i="20"/>
  <c r="J103" i="20"/>
  <c r="I103" i="20"/>
  <c r="H103" i="20"/>
  <c r="G103" i="20"/>
  <c r="F103" i="20"/>
  <c r="E103" i="20"/>
  <c r="D103" i="20"/>
  <c r="Q102" i="20"/>
  <c r="Q103" i="20" s="1"/>
  <c r="Q100" i="20"/>
  <c r="Q97" i="20"/>
  <c r="Q90" i="20"/>
  <c r="Q75" i="20"/>
  <c r="Q67" i="20"/>
  <c r="Q133" i="20" s="1"/>
  <c r="Q134" i="20" s="1"/>
  <c r="P57" i="20"/>
  <c r="P58" i="20" s="1"/>
  <c r="O57" i="20"/>
  <c r="N57" i="20"/>
  <c r="N58" i="20" s="1"/>
  <c r="M57" i="20"/>
  <c r="M58" i="20" s="1"/>
  <c r="L57" i="20"/>
  <c r="L58" i="20" s="1"/>
  <c r="K57" i="20"/>
  <c r="J57" i="20"/>
  <c r="I57" i="20"/>
  <c r="I58" i="20" s="1"/>
  <c r="H57" i="20"/>
  <c r="H58" i="20" s="1"/>
  <c r="G57" i="20"/>
  <c r="F57" i="20"/>
  <c r="F58" i="20" s="1"/>
  <c r="E57" i="20"/>
  <c r="E58" i="20" s="1"/>
  <c r="D57" i="20"/>
  <c r="D58" i="20" s="1"/>
  <c r="Q56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P51" i="20"/>
  <c r="O51" i="20"/>
  <c r="N51" i="20"/>
  <c r="M51" i="20"/>
  <c r="L51" i="20"/>
  <c r="K51" i="20"/>
  <c r="J51" i="20"/>
  <c r="I51" i="20"/>
  <c r="H51" i="20"/>
  <c r="F51" i="20"/>
  <c r="F53" i="20" s="1"/>
  <c r="E51" i="20"/>
  <c r="D51" i="20"/>
  <c r="D53" i="20" s="1"/>
  <c r="P50" i="20"/>
  <c r="P112" i="20" s="1"/>
  <c r="O50" i="20"/>
  <c r="O112" i="20" s="1"/>
  <c r="N50" i="20"/>
  <c r="N101" i="20" s="1"/>
  <c r="M50" i="20"/>
  <c r="M112" i="20" s="1"/>
  <c r="L50" i="20"/>
  <c r="L112" i="20" s="1"/>
  <c r="K50" i="20"/>
  <c r="K112" i="20" s="1"/>
  <c r="J50" i="20"/>
  <c r="J112" i="20" s="1"/>
  <c r="I50" i="20"/>
  <c r="I112" i="20" s="1"/>
  <c r="H50" i="20"/>
  <c r="H112" i="20" s="1"/>
  <c r="G50" i="20"/>
  <c r="G112" i="20" s="1"/>
  <c r="F50" i="20"/>
  <c r="F112" i="20" s="1"/>
  <c r="E50" i="20"/>
  <c r="E112" i="20" s="1"/>
  <c r="D50" i="20"/>
  <c r="D112" i="20" s="1"/>
  <c r="Q49" i="20"/>
  <c r="Q48" i="20"/>
  <c r="G108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Q46" i="20"/>
  <c r="Q47" i="20" s="1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P43" i="20"/>
  <c r="O43" i="20"/>
  <c r="N43" i="20"/>
  <c r="M43" i="20"/>
  <c r="L43" i="20"/>
  <c r="K43" i="20"/>
  <c r="J43" i="20"/>
  <c r="I43" i="20"/>
  <c r="H43" i="20"/>
  <c r="F43" i="20"/>
  <c r="E43" i="20"/>
  <c r="E45" i="20" s="1"/>
  <c r="D43" i="20"/>
  <c r="P42" i="20"/>
  <c r="O42" i="20"/>
  <c r="N42" i="20"/>
  <c r="M42" i="20"/>
  <c r="L42" i="20"/>
  <c r="K42" i="20"/>
  <c r="J42" i="20"/>
  <c r="I42" i="20"/>
  <c r="H42" i="20"/>
  <c r="F42" i="20"/>
  <c r="E42" i="20"/>
  <c r="D42" i="20"/>
  <c r="Q41" i="20"/>
  <c r="Q44" i="20" s="1"/>
  <c r="Q40" i="20"/>
  <c r="Q43" i="20" s="1"/>
  <c r="P35" i="20"/>
  <c r="O35" i="20"/>
  <c r="L35" i="20"/>
  <c r="K35" i="20"/>
  <c r="J35" i="20"/>
  <c r="H35" i="20"/>
  <c r="F35" i="20"/>
  <c r="E35" i="20"/>
  <c r="D35" i="20"/>
  <c r="Q34" i="20"/>
  <c r="N35" i="20"/>
  <c r="M35" i="20"/>
  <c r="I35" i="20"/>
  <c r="G35" i="20"/>
  <c r="Q33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Q31" i="20"/>
  <c r="Q30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Q27" i="20"/>
  <c r="Q26" i="20"/>
  <c r="Q25" i="20"/>
  <c r="N23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Q21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Q16" i="20"/>
  <c r="P15" i="20"/>
  <c r="P17" i="20" s="1"/>
  <c r="P68" i="20" s="1"/>
  <c r="O15" i="20"/>
  <c r="O65" i="20" s="1"/>
  <c r="N15" i="20"/>
  <c r="N17" i="20" s="1"/>
  <c r="N68" i="20" s="1"/>
  <c r="M15" i="20"/>
  <c r="M65" i="20" s="1"/>
  <c r="L15" i="20"/>
  <c r="L17" i="20" s="1"/>
  <c r="L68" i="20" s="1"/>
  <c r="K15" i="20"/>
  <c r="K65" i="20" s="1"/>
  <c r="J15" i="20"/>
  <c r="J65" i="20" s="1"/>
  <c r="I15" i="20"/>
  <c r="I17" i="20" s="1"/>
  <c r="I68" i="20" s="1"/>
  <c r="H15" i="20"/>
  <c r="H17" i="20" s="1"/>
  <c r="H68" i="20" s="1"/>
  <c r="G15" i="20"/>
  <c r="G65" i="20" s="1"/>
  <c r="F15" i="20"/>
  <c r="F17" i="20" s="1"/>
  <c r="F68" i="20" s="1"/>
  <c r="E15" i="20"/>
  <c r="E65" i="20" s="1"/>
  <c r="D15" i="20"/>
  <c r="D17" i="20" s="1"/>
  <c r="D68" i="20" s="1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Q12" i="20"/>
  <c r="Q11" i="20"/>
  <c r="P9" i="20"/>
  <c r="P24" i="20" s="1"/>
  <c r="P23" i="20" s="1"/>
  <c r="O9" i="20"/>
  <c r="O10" i="20" s="1"/>
  <c r="N9" i="20"/>
  <c r="N10" i="20" s="1"/>
  <c r="M9" i="20"/>
  <c r="M24" i="20" s="1"/>
  <c r="M23" i="20" s="1"/>
  <c r="L9" i="20"/>
  <c r="L24" i="20" s="1"/>
  <c r="L23" i="20" s="1"/>
  <c r="K9" i="20"/>
  <c r="K10" i="20" s="1"/>
  <c r="J9" i="20"/>
  <c r="J24" i="20" s="1"/>
  <c r="J23" i="20" s="1"/>
  <c r="I9" i="20"/>
  <c r="I24" i="20" s="1"/>
  <c r="I23" i="20" s="1"/>
  <c r="H9" i="20"/>
  <c r="H24" i="20" s="1"/>
  <c r="H23" i="20" s="1"/>
  <c r="G9" i="20"/>
  <c r="G10" i="20" s="1"/>
  <c r="F9" i="20"/>
  <c r="F24" i="20" s="1"/>
  <c r="F23" i="20" s="1"/>
  <c r="E9" i="20"/>
  <c r="E24" i="20" s="1"/>
  <c r="E23" i="20" s="1"/>
  <c r="D9" i="20"/>
  <c r="Q8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Q6" i="20"/>
  <c r="Q5" i="20"/>
  <c r="F45" i="20" l="1"/>
  <c r="O17" i="20"/>
  <c r="O68" i="20" s="1"/>
  <c r="K45" i="20"/>
  <c r="O45" i="20"/>
  <c r="P53" i="20"/>
  <c r="P66" i="20" s="1"/>
  <c r="L53" i="20"/>
  <c r="L66" i="20" s="1"/>
  <c r="H53" i="20"/>
  <c r="H66" i="20" s="1"/>
  <c r="D45" i="20"/>
  <c r="Q13" i="20"/>
  <c r="J10" i="20"/>
  <c r="I10" i="20"/>
  <c r="Q32" i="20"/>
  <c r="J36" i="20"/>
  <c r="E36" i="20"/>
  <c r="F36" i="20"/>
  <c r="F60" i="20" s="1"/>
  <c r="F62" i="20" s="1"/>
  <c r="G17" i="20"/>
  <c r="G68" i="20" s="1"/>
  <c r="D36" i="20"/>
  <c r="P36" i="20"/>
  <c r="Q35" i="20"/>
  <c r="Q98" i="20" s="1"/>
  <c r="Q109" i="20"/>
  <c r="Q108" i="20"/>
  <c r="I53" i="20"/>
  <c r="I66" i="20" s="1"/>
  <c r="M53" i="20"/>
  <c r="M66" i="20" s="1"/>
  <c r="Q51" i="20"/>
  <c r="I45" i="20"/>
  <c r="M45" i="20"/>
  <c r="H36" i="20"/>
  <c r="L36" i="20"/>
  <c r="K36" i="20"/>
  <c r="O36" i="20"/>
  <c r="I36" i="20"/>
  <c r="N36" i="20"/>
  <c r="M36" i="20"/>
  <c r="Q28" i="20"/>
  <c r="D20" i="20"/>
  <c r="H20" i="20"/>
  <c r="L20" i="20"/>
  <c r="G20" i="20"/>
  <c r="K20" i="20"/>
  <c r="O20" i="20"/>
  <c r="Q19" i="20"/>
  <c r="P20" i="20"/>
  <c r="K17" i="20"/>
  <c r="K68" i="20" s="1"/>
  <c r="F66" i="20"/>
  <c r="D66" i="20"/>
  <c r="Q14" i="20"/>
  <c r="F10" i="20"/>
  <c r="F20" i="20"/>
  <c r="J20" i="20"/>
  <c r="N20" i="20"/>
  <c r="E10" i="20"/>
  <c r="M10" i="20"/>
  <c r="E20" i="20"/>
  <c r="I20" i="20"/>
  <c r="M20" i="20"/>
  <c r="Q9" i="20"/>
  <c r="Q24" i="20" s="1"/>
  <c r="Q23" i="20" s="1"/>
  <c r="Q7" i="20"/>
  <c r="K53" i="20"/>
  <c r="K66" i="20" s="1"/>
  <c r="O53" i="20"/>
  <c r="O66" i="20" s="1"/>
  <c r="J45" i="20"/>
  <c r="N45" i="20"/>
  <c r="E53" i="20"/>
  <c r="E66" i="20" s="1"/>
  <c r="J53" i="20"/>
  <c r="J66" i="20" s="1"/>
  <c r="N53" i="20"/>
  <c r="N66" i="20" s="1"/>
  <c r="G58" i="20"/>
  <c r="O58" i="20"/>
  <c r="H45" i="20"/>
  <c r="L45" i="20"/>
  <c r="P45" i="20"/>
  <c r="K58" i="20"/>
  <c r="H60" i="20"/>
  <c r="H62" i="20" s="1"/>
  <c r="I54" i="20"/>
  <c r="I55" i="20" s="1"/>
  <c r="G36" i="20"/>
  <c r="D59" i="20"/>
  <c r="H59" i="20"/>
  <c r="L59" i="20"/>
  <c r="P59" i="20"/>
  <c r="D24" i="20"/>
  <c r="D23" i="20" s="1"/>
  <c r="G43" i="20"/>
  <c r="G45" i="20" s="1"/>
  <c r="F59" i="20"/>
  <c r="N59" i="20"/>
  <c r="F65" i="20"/>
  <c r="N65" i="20"/>
  <c r="G101" i="20"/>
  <c r="Q15" i="20"/>
  <c r="J17" i="20"/>
  <c r="J68" i="20" s="1"/>
  <c r="Q22" i="20"/>
  <c r="G24" i="20"/>
  <c r="G23" i="20" s="1"/>
  <c r="I59" i="20"/>
  <c r="I65" i="20"/>
  <c r="J101" i="20"/>
  <c r="N112" i="20"/>
  <c r="D10" i="20"/>
  <c r="H10" i="20"/>
  <c r="L10" i="20"/>
  <c r="P10" i="20"/>
  <c r="E17" i="20"/>
  <c r="E68" i="20" s="1"/>
  <c r="M17" i="20"/>
  <c r="M68" i="20" s="1"/>
  <c r="O24" i="20"/>
  <c r="O23" i="20" s="1"/>
  <c r="G42" i="20"/>
  <c r="Q42" i="20" s="1"/>
  <c r="Q45" i="20" s="1"/>
  <c r="Q50" i="20"/>
  <c r="G51" i="20"/>
  <c r="G53" i="20" s="1"/>
  <c r="G66" i="20" s="1"/>
  <c r="Q52" i="20"/>
  <c r="J58" i="20"/>
  <c r="D65" i="20"/>
  <c r="H65" i="20"/>
  <c r="L65" i="20"/>
  <c r="P65" i="20"/>
  <c r="E101" i="20"/>
  <c r="I101" i="20"/>
  <c r="M101" i="20"/>
  <c r="Q18" i="20"/>
  <c r="K101" i="20"/>
  <c r="O101" i="20"/>
  <c r="K24" i="20"/>
  <c r="K23" i="20" s="1"/>
  <c r="Q57" i="20"/>
  <c r="F101" i="20"/>
  <c r="D101" i="20"/>
  <c r="H101" i="20"/>
  <c r="L101" i="20"/>
  <c r="P101" i="20"/>
  <c r="L63" i="15"/>
  <c r="F37" i="20" l="1"/>
  <c r="F38" i="20" s="1"/>
  <c r="F54" i="20"/>
  <c r="F55" i="20" s="1"/>
  <c r="J37" i="20"/>
  <c r="N54" i="20"/>
  <c r="N55" i="20" s="1"/>
  <c r="I60" i="20"/>
  <c r="I62" i="20" s="1"/>
  <c r="M37" i="20"/>
  <c r="M38" i="20" s="1"/>
  <c r="O60" i="20"/>
  <c r="O62" i="20" s="1"/>
  <c r="P60" i="20"/>
  <c r="P62" i="20" s="1"/>
  <c r="K60" i="20"/>
  <c r="K62" i="20" s="1"/>
  <c r="D37" i="20"/>
  <c r="D38" i="20" s="1"/>
  <c r="L54" i="20"/>
  <c r="L55" i="20" s="1"/>
  <c r="H54" i="20"/>
  <c r="H55" i="20" s="1"/>
  <c r="E60" i="20"/>
  <c r="E62" i="20" s="1"/>
  <c r="G59" i="20"/>
  <c r="O59" i="20"/>
  <c r="N37" i="20"/>
  <c r="N38" i="20" s="1"/>
  <c r="K37" i="20"/>
  <c r="K38" i="20" s="1"/>
  <c r="K54" i="20"/>
  <c r="K55" i="20" s="1"/>
  <c r="P37" i="20"/>
  <c r="P38" i="20" s="1"/>
  <c r="L37" i="20"/>
  <c r="L38" i="20" s="1"/>
  <c r="L60" i="20"/>
  <c r="L62" i="20" s="1"/>
  <c r="J60" i="20"/>
  <c r="J62" i="20" s="1"/>
  <c r="J54" i="20"/>
  <c r="J55" i="20" s="1"/>
  <c r="D54" i="20"/>
  <c r="D55" i="20" s="1"/>
  <c r="D60" i="20"/>
  <c r="D62" i="20" s="1"/>
  <c r="K59" i="20"/>
  <c r="J38" i="20"/>
  <c r="E54" i="20"/>
  <c r="E55" i="20" s="1"/>
  <c r="O37" i="20"/>
  <c r="O38" i="20" s="1"/>
  <c r="P54" i="20"/>
  <c r="P55" i="20" s="1"/>
  <c r="Q10" i="20"/>
  <c r="M60" i="20"/>
  <c r="M62" i="20" s="1"/>
  <c r="E37" i="20"/>
  <c r="E38" i="20" s="1"/>
  <c r="N60" i="20"/>
  <c r="N62" i="20" s="1"/>
  <c r="Q36" i="20"/>
  <c r="O54" i="20"/>
  <c r="O55" i="20" s="1"/>
  <c r="H37" i="20"/>
  <c r="H38" i="20" s="1"/>
  <c r="I37" i="20"/>
  <c r="I38" i="20" s="1"/>
  <c r="M54" i="20"/>
  <c r="M55" i="20" s="1"/>
  <c r="M59" i="20"/>
  <c r="Q20" i="20"/>
  <c r="Q58" i="20"/>
  <c r="Q53" i="20"/>
  <c r="Q66" i="20" s="1"/>
  <c r="Q112" i="20"/>
  <c r="Q17" i="20"/>
  <c r="Q59" i="20" s="1"/>
  <c r="Q65" i="20"/>
  <c r="G60" i="20"/>
  <c r="G62" i="20" s="1"/>
  <c r="G37" i="20"/>
  <c r="G38" i="20" s="1"/>
  <c r="G54" i="20"/>
  <c r="G55" i="20" s="1"/>
  <c r="E59" i="20"/>
  <c r="J59" i="20"/>
  <c r="Q91" i="20"/>
  <c r="Q101" i="20"/>
  <c r="S24" i="15"/>
  <c r="Q84" i="20" l="1"/>
  <c r="Q37" i="20"/>
  <c r="Q74" i="20"/>
  <c r="Q131" i="20"/>
  <c r="Q60" i="20"/>
  <c r="Q62" i="20" s="1"/>
  <c r="Q54" i="20"/>
  <c r="Q55" i="20" s="1"/>
  <c r="Q135" i="20"/>
  <c r="Q68" i="20"/>
  <c r="Q136" i="20"/>
  <c r="Q38" i="20"/>
  <c r="Q63" i="20" l="1"/>
  <c r="Q27" i="15"/>
  <c r="Q25" i="15" l="1"/>
  <c r="G102" i="15"/>
  <c r="G48" i="15"/>
  <c r="G40" i="15"/>
  <c r="L33" i="15"/>
  <c r="O33" i="15"/>
  <c r="D33" i="15"/>
  <c r="N33" i="15"/>
  <c r="M33" i="15"/>
  <c r="K33" i="15"/>
  <c r="I33" i="15"/>
  <c r="G33" i="15"/>
  <c r="G30" i="15"/>
  <c r="Q129" i="15" l="1"/>
  <c r="Q130" i="15" s="1"/>
  <c r="N108" i="15"/>
  <c r="G108" i="15"/>
  <c r="P106" i="15"/>
  <c r="O106" i="15"/>
  <c r="N106" i="15"/>
  <c r="M106" i="15"/>
  <c r="L106" i="15"/>
  <c r="K106" i="15"/>
  <c r="J106" i="15"/>
  <c r="I106" i="15"/>
  <c r="H106" i="15"/>
  <c r="G106" i="15"/>
  <c r="F106" i="15"/>
  <c r="E106" i="15"/>
  <c r="D106" i="15"/>
  <c r="Q105" i="15"/>
  <c r="Q106" i="15" s="1"/>
  <c r="Q102" i="15"/>
  <c r="Q103" i="15" s="1"/>
  <c r="Q100" i="15"/>
  <c r="L50" i="9"/>
  <c r="L50" i="7"/>
  <c r="L50" i="5"/>
  <c r="L50" i="11"/>
  <c r="R23" i="15"/>
  <c r="S23" i="15"/>
  <c r="R24" i="15"/>
  <c r="E63" i="15"/>
  <c r="F63" i="15"/>
  <c r="G63" i="15"/>
  <c r="H63" i="15"/>
  <c r="I63" i="15"/>
  <c r="J63" i="15"/>
  <c r="K63" i="15"/>
  <c r="M63" i="15"/>
  <c r="N63" i="15"/>
  <c r="O63" i="15"/>
  <c r="P63" i="15"/>
  <c r="D63" i="15"/>
  <c r="Q124" i="15"/>
  <c r="Q122" i="15"/>
  <c r="C122" i="15"/>
  <c r="Q115" i="15"/>
  <c r="Q113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Q110" i="15"/>
  <c r="Q111" i="15" s="1"/>
  <c r="P109" i="15"/>
  <c r="O109" i="15"/>
  <c r="N109" i="15"/>
  <c r="M109" i="15"/>
  <c r="L109" i="15"/>
  <c r="K109" i="15"/>
  <c r="J109" i="15"/>
  <c r="I109" i="15"/>
  <c r="H109" i="15"/>
  <c r="G109" i="15"/>
  <c r="F109" i="15"/>
  <c r="E109" i="15"/>
  <c r="D109" i="15"/>
  <c r="P108" i="15"/>
  <c r="O108" i="15"/>
  <c r="M108" i="15"/>
  <c r="L108" i="15"/>
  <c r="K108" i="15"/>
  <c r="J108" i="15"/>
  <c r="I108" i="15"/>
  <c r="H108" i="15"/>
  <c r="F108" i="15"/>
  <c r="E108" i="15"/>
  <c r="D108" i="15"/>
  <c r="P103" i="15"/>
  <c r="O103" i="15"/>
  <c r="N103" i="15"/>
  <c r="M103" i="15"/>
  <c r="L103" i="15"/>
  <c r="K103" i="15"/>
  <c r="J103" i="15"/>
  <c r="I103" i="15"/>
  <c r="H103" i="15"/>
  <c r="G103" i="15"/>
  <c r="F103" i="15"/>
  <c r="E103" i="15"/>
  <c r="D103" i="15"/>
  <c r="Q97" i="15"/>
  <c r="Q90" i="15"/>
  <c r="Q75" i="15"/>
  <c r="Q67" i="15"/>
  <c r="Q133" i="15" s="1"/>
  <c r="Q134" i="15" s="1"/>
  <c r="P57" i="15"/>
  <c r="P58" i="15" s="1"/>
  <c r="O57" i="15"/>
  <c r="O58" i="15" s="1"/>
  <c r="N57" i="15"/>
  <c r="N58" i="15" s="1"/>
  <c r="M57" i="15"/>
  <c r="M58" i="15" s="1"/>
  <c r="L57" i="15"/>
  <c r="L58" i="15" s="1"/>
  <c r="K57" i="15"/>
  <c r="K58" i="15" s="1"/>
  <c r="J57" i="15"/>
  <c r="I57" i="15"/>
  <c r="I58" i="15" s="1"/>
  <c r="H57" i="15"/>
  <c r="H58" i="15" s="1"/>
  <c r="G57" i="15"/>
  <c r="G58" i="15" s="1"/>
  <c r="F57" i="15"/>
  <c r="F58" i="15" s="1"/>
  <c r="E57" i="15"/>
  <c r="E58" i="15" s="1"/>
  <c r="D57" i="15"/>
  <c r="D58" i="15" s="1"/>
  <c r="Q56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P51" i="15"/>
  <c r="O51" i="15"/>
  <c r="N51" i="15"/>
  <c r="M51" i="15"/>
  <c r="L51" i="15"/>
  <c r="K51" i="15"/>
  <c r="J51" i="15"/>
  <c r="I51" i="15"/>
  <c r="H51" i="15"/>
  <c r="F51" i="15"/>
  <c r="E51" i="15"/>
  <c r="D51" i="15"/>
  <c r="P50" i="15"/>
  <c r="P101" i="15" s="1"/>
  <c r="O50" i="15"/>
  <c r="O101" i="15" s="1"/>
  <c r="N50" i="15"/>
  <c r="N112" i="15" s="1"/>
  <c r="M50" i="15"/>
  <c r="M101" i="15" s="1"/>
  <c r="L50" i="15"/>
  <c r="L101" i="15" s="1"/>
  <c r="K50" i="15"/>
  <c r="K112" i="15" s="1"/>
  <c r="J50" i="15"/>
  <c r="J112" i="15" s="1"/>
  <c r="I50" i="15"/>
  <c r="I101" i="15" s="1"/>
  <c r="H50" i="15"/>
  <c r="H101" i="15" s="1"/>
  <c r="G50" i="15"/>
  <c r="G112" i="15" s="1"/>
  <c r="F50" i="15"/>
  <c r="F112" i="15" s="1"/>
  <c r="E50" i="15"/>
  <c r="E101" i="15" s="1"/>
  <c r="D50" i="15"/>
  <c r="D101" i="15" s="1"/>
  <c r="Q49" i="15"/>
  <c r="Q48" i="15"/>
  <c r="G51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Q46" i="15"/>
  <c r="Q47" i="15" s="1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P43" i="15"/>
  <c r="O43" i="15"/>
  <c r="N43" i="15"/>
  <c r="M43" i="15"/>
  <c r="L43" i="15"/>
  <c r="K43" i="15"/>
  <c r="J43" i="15"/>
  <c r="I43" i="15"/>
  <c r="H43" i="15"/>
  <c r="F43" i="15"/>
  <c r="F45" i="15" s="1"/>
  <c r="E43" i="15"/>
  <c r="E45" i="15" s="1"/>
  <c r="D43" i="15"/>
  <c r="D45" i="15" s="1"/>
  <c r="P42" i="15"/>
  <c r="O42" i="15"/>
  <c r="N42" i="15"/>
  <c r="M42" i="15"/>
  <c r="L42" i="15"/>
  <c r="K42" i="15"/>
  <c r="J42" i="15"/>
  <c r="I42" i="15"/>
  <c r="H42" i="15"/>
  <c r="F42" i="15"/>
  <c r="E42" i="15"/>
  <c r="D42" i="15"/>
  <c r="Q41" i="15"/>
  <c r="Q44" i="15" s="1"/>
  <c r="Q40" i="15"/>
  <c r="Q43" i="15" s="1"/>
  <c r="P35" i="15"/>
  <c r="J35" i="15"/>
  <c r="H35" i="15"/>
  <c r="G35" i="15"/>
  <c r="F35" i="15"/>
  <c r="E35" i="15"/>
  <c r="Q34" i="15"/>
  <c r="O35" i="15"/>
  <c r="N35" i="15"/>
  <c r="M35" i="15"/>
  <c r="L35" i="15"/>
  <c r="K35" i="15"/>
  <c r="I35" i="15"/>
  <c r="D35" i="15"/>
  <c r="P32" i="15"/>
  <c r="O32" i="15"/>
  <c r="N32" i="15"/>
  <c r="M32" i="15"/>
  <c r="L32" i="15"/>
  <c r="L36" i="15" s="1"/>
  <c r="K32" i="15"/>
  <c r="J32" i="15"/>
  <c r="I32" i="15"/>
  <c r="H32" i="15"/>
  <c r="F32" i="15"/>
  <c r="E32" i="15"/>
  <c r="D32" i="15"/>
  <c r="D36" i="15" s="1"/>
  <c r="Q31" i="15"/>
  <c r="Q30" i="15"/>
  <c r="G32" i="15"/>
  <c r="Q29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Q26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Q21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Q16" i="15"/>
  <c r="P15" i="15"/>
  <c r="P65" i="15" s="1"/>
  <c r="O15" i="15"/>
  <c r="O65" i="15" s="1"/>
  <c r="N15" i="15"/>
  <c r="N65" i="15" s="1"/>
  <c r="M15" i="15"/>
  <c r="M65" i="15" s="1"/>
  <c r="L15" i="15"/>
  <c r="L65" i="15" s="1"/>
  <c r="K15" i="15"/>
  <c r="K65" i="15" s="1"/>
  <c r="J15" i="15"/>
  <c r="J65" i="15" s="1"/>
  <c r="I15" i="15"/>
  <c r="I65" i="15" s="1"/>
  <c r="H15" i="15"/>
  <c r="H65" i="15" s="1"/>
  <c r="G15" i="15"/>
  <c r="G65" i="15" s="1"/>
  <c r="F15" i="15"/>
  <c r="F65" i="15" s="1"/>
  <c r="E15" i="15"/>
  <c r="E65" i="15" s="1"/>
  <c r="D15" i="15"/>
  <c r="D65" i="15" s="1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Q12" i="15"/>
  <c r="Q11" i="15"/>
  <c r="P9" i="15"/>
  <c r="P24" i="15" s="1"/>
  <c r="P23" i="15" s="1"/>
  <c r="O9" i="15"/>
  <c r="O10" i="15" s="1"/>
  <c r="N9" i="15"/>
  <c r="N10" i="15" s="1"/>
  <c r="M9" i="15"/>
  <c r="M24" i="15" s="1"/>
  <c r="M23" i="15" s="1"/>
  <c r="L9" i="15"/>
  <c r="L10" i="15" s="1"/>
  <c r="K9" i="15"/>
  <c r="K10" i="15" s="1"/>
  <c r="J9" i="15"/>
  <c r="J10" i="15" s="1"/>
  <c r="I9" i="15"/>
  <c r="I24" i="15" s="1"/>
  <c r="I23" i="15" s="1"/>
  <c r="H9" i="15"/>
  <c r="H24" i="15" s="1"/>
  <c r="H23" i="15" s="1"/>
  <c r="G9" i="15"/>
  <c r="G10" i="15" s="1"/>
  <c r="F9" i="15"/>
  <c r="F10" i="15" s="1"/>
  <c r="E9" i="15"/>
  <c r="E10" i="15" s="1"/>
  <c r="D9" i="15"/>
  <c r="D10" i="15" s="1"/>
  <c r="Q8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Q6" i="15"/>
  <c r="Q5" i="15"/>
  <c r="L50" i="13"/>
  <c r="I107" i="13"/>
  <c r="M14" i="13"/>
  <c r="D53" i="15" l="1"/>
  <c r="P10" i="15"/>
  <c r="P36" i="15"/>
  <c r="E36" i="15"/>
  <c r="J36" i="15"/>
  <c r="K24" i="15"/>
  <c r="K23" i="15" s="1"/>
  <c r="I10" i="15"/>
  <c r="O24" i="15"/>
  <c r="O23" i="15" s="1"/>
  <c r="H10" i="15"/>
  <c r="E24" i="15"/>
  <c r="E23" i="15" s="1"/>
  <c r="D66" i="15"/>
  <c r="Q13" i="15"/>
  <c r="N23" i="15"/>
  <c r="M10" i="15"/>
  <c r="L24" i="15"/>
  <c r="L23" i="15" s="1"/>
  <c r="J24" i="15"/>
  <c r="J23" i="15" s="1"/>
  <c r="G24" i="15"/>
  <c r="G23" i="15" s="1"/>
  <c r="F24" i="15"/>
  <c r="F23" i="15" s="1"/>
  <c r="Q19" i="15"/>
  <c r="D24" i="15"/>
  <c r="D23" i="15" s="1"/>
  <c r="N53" i="15"/>
  <c r="N66" i="15" s="1"/>
  <c r="J53" i="15"/>
  <c r="J66" i="15" s="1"/>
  <c r="G53" i="15"/>
  <c r="G66" i="15" s="1"/>
  <c r="F53" i="15"/>
  <c r="F66" i="15" s="1"/>
  <c r="O45" i="15"/>
  <c r="K45" i="15"/>
  <c r="Q108" i="15"/>
  <c r="Q109" i="15"/>
  <c r="E112" i="15"/>
  <c r="K53" i="15"/>
  <c r="K66" i="15" s="1"/>
  <c r="O53" i="15"/>
  <c r="O66" i="15" s="1"/>
  <c r="M112" i="15"/>
  <c r="D112" i="15"/>
  <c r="L112" i="15"/>
  <c r="Q51" i="15"/>
  <c r="I112" i="15"/>
  <c r="H112" i="15"/>
  <c r="P112" i="15"/>
  <c r="I45" i="15"/>
  <c r="M45" i="15"/>
  <c r="H36" i="15"/>
  <c r="F36" i="15"/>
  <c r="G36" i="15"/>
  <c r="Q32" i="15"/>
  <c r="Q28" i="15"/>
  <c r="F20" i="15"/>
  <c r="J20" i="15"/>
  <c r="N20" i="15"/>
  <c r="E20" i="15"/>
  <c r="I20" i="15"/>
  <c r="M20" i="15"/>
  <c r="F17" i="15"/>
  <c r="F68" i="15" s="1"/>
  <c r="Q18" i="15"/>
  <c r="N17" i="15"/>
  <c r="N68" i="15" s="1"/>
  <c r="J17" i="15"/>
  <c r="J68" i="15" s="1"/>
  <c r="Q14" i="15"/>
  <c r="D20" i="15"/>
  <c r="H20" i="15"/>
  <c r="L20" i="15"/>
  <c r="P20" i="15"/>
  <c r="G20" i="15"/>
  <c r="K20" i="15"/>
  <c r="O20" i="15"/>
  <c r="Q9" i="15"/>
  <c r="Q7" i="15"/>
  <c r="I53" i="15"/>
  <c r="I66" i="15" s="1"/>
  <c r="M53" i="15"/>
  <c r="M66" i="15" s="1"/>
  <c r="H45" i="15"/>
  <c r="L45" i="15"/>
  <c r="P45" i="15"/>
  <c r="H53" i="15"/>
  <c r="H66" i="15" s="1"/>
  <c r="L53" i="15"/>
  <c r="L66" i="15" s="1"/>
  <c r="P53" i="15"/>
  <c r="P66" i="15" s="1"/>
  <c r="J45" i="15"/>
  <c r="N45" i="15"/>
  <c r="E53" i="15"/>
  <c r="E66" i="15" s="1"/>
  <c r="P54" i="15"/>
  <c r="P55" i="15" s="1"/>
  <c r="P60" i="15"/>
  <c r="P62" i="15" s="1"/>
  <c r="E60" i="15"/>
  <c r="E62" i="15" s="1"/>
  <c r="E37" i="15"/>
  <c r="D54" i="15"/>
  <c r="D55" i="15" s="1"/>
  <c r="D60" i="15"/>
  <c r="D62" i="15" s="1"/>
  <c r="D37" i="15"/>
  <c r="K36" i="15"/>
  <c r="N36" i="15"/>
  <c r="I36" i="15"/>
  <c r="M36" i="15"/>
  <c r="L54" i="15"/>
  <c r="L55" i="15" s="1"/>
  <c r="L60" i="15"/>
  <c r="L62" i="15" s="1"/>
  <c r="L37" i="15"/>
  <c r="O36" i="15"/>
  <c r="Q22" i="15"/>
  <c r="Q33" i="15"/>
  <c r="Q35" i="15" s="1"/>
  <c r="Q98" i="15" s="1"/>
  <c r="G101" i="15"/>
  <c r="K101" i="15"/>
  <c r="I17" i="15"/>
  <c r="I68" i="15" s="1"/>
  <c r="F101" i="15"/>
  <c r="N101" i="15"/>
  <c r="D17" i="15"/>
  <c r="D68" i="15" s="1"/>
  <c r="H17" i="15"/>
  <c r="H68" i="15" s="1"/>
  <c r="L17" i="15"/>
  <c r="L68" i="15" s="1"/>
  <c r="P17" i="15"/>
  <c r="P68" i="15" s="1"/>
  <c r="G42" i="15"/>
  <c r="Q42" i="15" s="1"/>
  <c r="Q45" i="15" s="1"/>
  <c r="Q50" i="15"/>
  <c r="Q101" i="15" s="1"/>
  <c r="Q52" i="15"/>
  <c r="J58" i="15"/>
  <c r="O112" i="15"/>
  <c r="Q15" i="15"/>
  <c r="G43" i="15"/>
  <c r="G45" i="15" s="1"/>
  <c r="E17" i="15"/>
  <c r="E68" i="15" s="1"/>
  <c r="M17" i="15"/>
  <c r="M68" i="15" s="1"/>
  <c r="Q57" i="15"/>
  <c r="J101" i="15"/>
  <c r="G17" i="15"/>
  <c r="G68" i="15" s="1"/>
  <c r="K17" i="15"/>
  <c r="K68" i="15" s="1"/>
  <c r="O17" i="15"/>
  <c r="O68" i="15" s="1"/>
  <c r="Q133" i="13"/>
  <c r="N31" i="13"/>
  <c r="P33" i="13"/>
  <c r="J60" i="15" l="1"/>
  <c r="J62" i="15" s="1"/>
  <c r="J37" i="15"/>
  <c r="J54" i="15"/>
  <c r="J55" i="15" s="1"/>
  <c r="E54" i="15"/>
  <c r="E55" i="15" s="1"/>
  <c r="P37" i="15"/>
  <c r="Q24" i="15"/>
  <c r="Q23" i="15" s="1"/>
  <c r="G54" i="15"/>
  <c r="G55" i="15" s="1"/>
  <c r="G60" i="15"/>
  <c r="G62" i="15" s="1"/>
  <c r="H37" i="15"/>
  <c r="F54" i="15"/>
  <c r="F55" i="15" s="1"/>
  <c r="Q10" i="15"/>
  <c r="H60" i="15"/>
  <c r="H62" i="15" s="1"/>
  <c r="G37" i="15"/>
  <c r="G38" i="15" s="1"/>
  <c r="F60" i="15"/>
  <c r="F62" i="15" s="1"/>
  <c r="F37" i="15"/>
  <c r="F38" i="15" s="1"/>
  <c r="Q91" i="15"/>
  <c r="H54" i="15"/>
  <c r="H55" i="15" s="1"/>
  <c r="G59" i="15"/>
  <c r="M59" i="15"/>
  <c r="N59" i="15"/>
  <c r="J59" i="15"/>
  <c r="O59" i="15"/>
  <c r="F59" i="15"/>
  <c r="J38" i="15"/>
  <c r="E59" i="15"/>
  <c r="Q20" i="15"/>
  <c r="K37" i="15"/>
  <c r="K38" i="15" s="1"/>
  <c r="K60" i="15"/>
  <c r="K62" i="15" s="1"/>
  <c r="K54" i="15"/>
  <c r="K55" i="15" s="1"/>
  <c r="O60" i="15"/>
  <c r="O62" i="15" s="1"/>
  <c r="O54" i="15"/>
  <c r="O55" i="15" s="1"/>
  <c r="O37" i="15"/>
  <c r="O38" i="15" s="1"/>
  <c r="N54" i="15"/>
  <c r="N55" i="15" s="1"/>
  <c r="N60" i="15"/>
  <c r="N62" i="15" s="1"/>
  <c r="N37" i="15"/>
  <c r="N38" i="15" s="1"/>
  <c r="I60" i="15"/>
  <c r="I62" i="15" s="1"/>
  <c r="I37" i="15"/>
  <c r="I38" i="15" s="1"/>
  <c r="I54" i="15"/>
  <c r="I55" i="15" s="1"/>
  <c r="Q58" i="15"/>
  <c r="Q17" i="15"/>
  <c r="Q65" i="15"/>
  <c r="Q53" i="15"/>
  <c r="Q66" i="15" s="1"/>
  <c r="Q112" i="15"/>
  <c r="M60" i="15"/>
  <c r="M62" i="15" s="1"/>
  <c r="M37" i="15"/>
  <c r="M38" i="15" s="1"/>
  <c r="M54" i="15"/>
  <c r="M55" i="15" s="1"/>
  <c r="L59" i="15"/>
  <c r="L38" i="15"/>
  <c r="P59" i="15"/>
  <c r="D59" i="15"/>
  <c r="D38" i="15"/>
  <c r="P38" i="15"/>
  <c r="I59" i="15"/>
  <c r="H59" i="15"/>
  <c r="K59" i="15"/>
  <c r="Q36" i="15"/>
  <c r="E38" i="15"/>
  <c r="H38" i="15"/>
  <c r="G100" i="13"/>
  <c r="Q68" i="15" l="1"/>
  <c r="Q135" i="15"/>
  <c r="Q136" i="15"/>
  <c r="Q74" i="15"/>
  <c r="Q60" i="15"/>
  <c r="Q62" i="15" s="1"/>
  <c r="Q37" i="15"/>
  <c r="Q38" i="15" s="1"/>
  <c r="Q131" i="15"/>
  <c r="Q84" i="15"/>
  <c r="Q54" i="15"/>
  <c r="Q55" i="15" s="1"/>
  <c r="Q59" i="15"/>
  <c r="G46" i="13"/>
  <c r="Q46" i="13" s="1"/>
  <c r="G38" i="13"/>
  <c r="N32" i="13"/>
  <c r="K32" i="13"/>
  <c r="O31" i="13"/>
  <c r="M31" i="13"/>
  <c r="L31" i="13"/>
  <c r="K31" i="13"/>
  <c r="I31" i="13"/>
  <c r="G31" i="13"/>
  <c r="D31" i="13"/>
  <c r="G28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D61" i="13"/>
  <c r="Q63" i="15" l="1"/>
  <c r="Q38" i="13"/>
  <c r="Q41" i="13" s="1"/>
  <c r="P41" i="13"/>
  <c r="O41" i="13"/>
  <c r="L41" i="13"/>
  <c r="K41" i="13"/>
  <c r="H41" i="13"/>
  <c r="Q127" i="13"/>
  <c r="Q134" i="13" s="1"/>
  <c r="Q122" i="13"/>
  <c r="Q120" i="13"/>
  <c r="C120" i="13"/>
  <c r="Q113" i="13"/>
  <c r="Q111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Q108" i="13"/>
  <c r="Q109" i="13" s="1"/>
  <c r="P107" i="13"/>
  <c r="O107" i="13"/>
  <c r="N107" i="13"/>
  <c r="M107" i="13"/>
  <c r="L107" i="13"/>
  <c r="K107" i="13"/>
  <c r="J107" i="13"/>
  <c r="H107" i="13"/>
  <c r="G107" i="13"/>
  <c r="F107" i="13"/>
  <c r="E107" i="13"/>
  <c r="D107" i="13"/>
  <c r="P106" i="13"/>
  <c r="O106" i="13"/>
  <c r="M106" i="13"/>
  <c r="L106" i="13"/>
  <c r="K106" i="13"/>
  <c r="J106" i="13"/>
  <c r="I106" i="13"/>
  <c r="H106" i="13"/>
  <c r="F106" i="13"/>
  <c r="E106" i="13"/>
  <c r="D106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Q103" i="13"/>
  <c r="Q104" i="13" s="1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Q100" i="13"/>
  <c r="Q101" i="13" s="1"/>
  <c r="Q98" i="13"/>
  <c r="Q95" i="13"/>
  <c r="Q88" i="13"/>
  <c r="Q73" i="13"/>
  <c r="Q65" i="13"/>
  <c r="Q131" i="13" s="1"/>
  <c r="P55" i="13"/>
  <c r="P56" i="13" s="1"/>
  <c r="O55" i="13"/>
  <c r="O56" i="13" s="1"/>
  <c r="N55" i="13"/>
  <c r="N56" i="13" s="1"/>
  <c r="M55" i="13"/>
  <c r="M56" i="13" s="1"/>
  <c r="L55" i="13"/>
  <c r="L56" i="13" s="1"/>
  <c r="K55" i="13"/>
  <c r="K56" i="13" s="1"/>
  <c r="J55" i="13"/>
  <c r="I55" i="13"/>
  <c r="I56" i="13" s="1"/>
  <c r="H55" i="13"/>
  <c r="H56" i="13" s="1"/>
  <c r="G55" i="13"/>
  <c r="G56" i="13" s="1"/>
  <c r="F55" i="13"/>
  <c r="F56" i="13" s="1"/>
  <c r="E55" i="13"/>
  <c r="E56" i="13" s="1"/>
  <c r="D55" i="13"/>
  <c r="D56" i="13" s="1"/>
  <c r="Q54" i="13"/>
  <c r="P50" i="13"/>
  <c r="O50" i="13"/>
  <c r="N50" i="13"/>
  <c r="M50" i="13"/>
  <c r="K50" i="13"/>
  <c r="J50" i="13"/>
  <c r="I50" i="13"/>
  <c r="H50" i="13"/>
  <c r="G50" i="13"/>
  <c r="F50" i="13"/>
  <c r="E50" i="13"/>
  <c r="D50" i="13"/>
  <c r="P49" i="13"/>
  <c r="O49" i="13"/>
  <c r="N49" i="13"/>
  <c r="M49" i="13"/>
  <c r="L49" i="13"/>
  <c r="K49" i="13"/>
  <c r="J49" i="13"/>
  <c r="I49" i="13"/>
  <c r="H49" i="13"/>
  <c r="F49" i="13"/>
  <c r="F51" i="13" s="1"/>
  <c r="E49" i="13"/>
  <c r="D49" i="13"/>
  <c r="P48" i="13"/>
  <c r="P99" i="13" s="1"/>
  <c r="O48" i="13"/>
  <c r="O99" i="13" s="1"/>
  <c r="N48" i="13"/>
  <c r="N110" i="13" s="1"/>
  <c r="M48" i="13"/>
  <c r="M99" i="13" s="1"/>
  <c r="L48" i="13"/>
  <c r="L99" i="13" s="1"/>
  <c r="K48" i="13"/>
  <c r="K110" i="13" s="1"/>
  <c r="J48" i="13"/>
  <c r="J110" i="13" s="1"/>
  <c r="I48" i="13"/>
  <c r="I99" i="13" s="1"/>
  <c r="H48" i="13"/>
  <c r="H99" i="13" s="1"/>
  <c r="G48" i="13"/>
  <c r="G99" i="13" s="1"/>
  <c r="F48" i="13"/>
  <c r="F110" i="13" s="1"/>
  <c r="E48" i="13"/>
  <c r="E99" i="13" s="1"/>
  <c r="D48" i="13"/>
  <c r="D99" i="13" s="1"/>
  <c r="Q47" i="13"/>
  <c r="Q49" i="13"/>
  <c r="G49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Q44" i="13"/>
  <c r="Q45" i="13" s="1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N41" i="13"/>
  <c r="M41" i="13"/>
  <c r="J41" i="13"/>
  <c r="I41" i="13"/>
  <c r="F41" i="13"/>
  <c r="E41" i="13"/>
  <c r="O40" i="13"/>
  <c r="N40" i="13"/>
  <c r="M40" i="13"/>
  <c r="K40" i="13"/>
  <c r="J40" i="13"/>
  <c r="I40" i="13"/>
  <c r="F40" i="13"/>
  <c r="E40" i="13"/>
  <c r="Q39" i="13"/>
  <c r="Q42" i="13" s="1"/>
  <c r="J33" i="13"/>
  <c r="H33" i="13"/>
  <c r="G33" i="13"/>
  <c r="E33" i="13"/>
  <c r="D33" i="13"/>
  <c r="Q32" i="13"/>
  <c r="O33" i="13"/>
  <c r="N33" i="13"/>
  <c r="M33" i="13"/>
  <c r="L33" i="13"/>
  <c r="K33" i="13"/>
  <c r="I33" i="13"/>
  <c r="F33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Q29" i="13"/>
  <c r="Q28" i="13"/>
  <c r="Q27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Q25" i="13"/>
  <c r="Q24" i="13"/>
  <c r="Q23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Q21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Q16" i="13"/>
  <c r="P15" i="13"/>
  <c r="P63" i="13" s="1"/>
  <c r="O15" i="13"/>
  <c r="O63" i="13" s="1"/>
  <c r="N15" i="13"/>
  <c r="N17" i="13" s="1"/>
  <c r="N66" i="13" s="1"/>
  <c r="M15" i="13"/>
  <c r="M63" i="13" s="1"/>
  <c r="L15" i="13"/>
  <c r="L63" i="13" s="1"/>
  <c r="K15" i="13"/>
  <c r="K63" i="13" s="1"/>
  <c r="J15" i="13"/>
  <c r="J63" i="13" s="1"/>
  <c r="I15" i="13"/>
  <c r="I17" i="13" s="1"/>
  <c r="I66" i="13" s="1"/>
  <c r="H15" i="13"/>
  <c r="H63" i="13" s="1"/>
  <c r="G15" i="13"/>
  <c r="G63" i="13" s="1"/>
  <c r="F15" i="13"/>
  <c r="F17" i="13" s="1"/>
  <c r="F66" i="13" s="1"/>
  <c r="E15" i="13"/>
  <c r="E63" i="13" s="1"/>
  <c r="D15" i="13"/>
  <c r="D63" i="13" s="1"/>
  <c r="P14" i="13"/>
  <c r="O14" i="13"/>
  <c r="N14" i="13"/>
  <c r="L14" i="13"/>
  <c r="K14" i="13"/>
  <c r="J14" i="13"/>
  <c r="I14" i="13"/>
  <c r="H14" i="13"/>
  <c r="G14" i="13"/>
  <c r="F14" i="13"/>
  <c r="E14" i="13"/>
  <c r="D14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Q12" i="13"/>
  <c r="Q11" i="13"/>
  <c r="P9" i="13"/>
  <c r="P10" i="13" s="1"/>
  <c r="O9" i="13"/>
  <c r="O10" i="13" s="1"/>
  <c r="N9" i="13"/>
  <c r="N10" i="13" s="1"/>
  <c r="M9" i="13"/>
  <c r="M10" i="13" s="1"/>
  <c r="L9" i="13"/>
  <c r="L10" i="13" s="1"/>
  <c r="K9" i="13"/>
  <c r="K10" i="13" s="1"/>
  <c r="J9" i="13"/>
  <c r="J10" i="13" s="1"/>
  <c r="I9" i="13"/>
  <c r="I10" i="13" s="1"/>
  <c r="H9" i="13"/>
  <c r="H10" i="13" s="1"/>
  <c r="G9" i="13"/>
  <c r="G10" i="13" s="1"/>
  <c r="F9" i="13"/>
  <c r="F10" i="13" s="1"/>
  <c r="E9" i="13"/>
  <c r="E10" i="13" s="1"/>
  <c r="D9" i="13"/>
  <c r="Q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Q6" i="13"/>
  <c r="Q5" i="13"/>
  <c r="Q133" i="11"/>
  <c r="H34" i="13" l="1"/>
  <c r="H136" i="13" s="1"/>
  <c r="Q132" i="13"/>
  <c r="L34" i="13"/>
  <c r="L136" i="13" s="1"/>
  <c r="O34" i="13"/>
  <c r="O136" i="13" s="1"/>
  <c r="J51" i="13"/>
  <c r="J64" i="13" s="1"/>
  <c r="Q107" i="13"/>
  <c r="O51" i="13"/>
  <c r="O64" i="13" s="1"/>
  <c r="N51" i="13"/>
  <c r="N64" i="13" s="1"/>
  <c r="K51" i="13"/>
  <c r="K64" i="13" s="1"/>
  <c r="G51" i="13"/>
  <c r="G64" i="13" s="1"/>
  <c r="M110" i="13"/>
  <c r="I110" i="13"/>
  <c r="H110" i="13"/>
  <c r="K34" i="13"/>
  <c r="Q18" i="13"/>
  <c r="H43" i="13"/>
  <c r="P43" i="13"/>
  <c r="Q22" i="13"/>
  <c r="H20" i="13"/>
  <c r="P20" i="13"/>
  <c r="F43" i="13"/>
  <c r="N43" i="13"/>
  <c r="E110" i="13"/>
  <c r="P110" i="13"/>
  <c r="Q30" i="13"/>
  <c r="Q106" i="13"/>
  <c r="E43" i="13"/>
  <c r="M43" i="13"/>
  <c r="H51" i="13"/>
  <c r="H64" i="13" s="1"/>
  <c r="P51" i="13"/>
  <c r="P64" i="13" s="1"/>
  <c r="Q128" i="13"/>
  <c r="L43" i="13"/>
  <c r="L20" i="13"/>
  <c r="D20" i="13"/>
  <c r="E51" i="13"/>
  <c r="E64" i="13" s="1"/>
  <c r="D51" i="13"/>
  <c r="D64" i="13" s="1"/>
  <c r="I51" i="13"/>
  <c r="I64" i="13" s="1"/>
  <c r="M51" i="13"/>
  <c r="M64" i="13" s="1"/>
  <c r="D110" i="13"/>
  <c r="L110" i="13"/>
  <c r="K43" i="13"/>
  <c r="J43" i="13"/>
  <c r="I43" i="13"/>
  <c r="O43" i="13"/>
  <c r="D40" i="13"/>
  <c r="D41" i="13"/>
  <c r="D43" i="13" s="1"/>
  <c r="H40" i="13"/>
  <c r="L40" i="13"/>
  <c r="P40" i="13"/>
  <c r="E34" i="13"/>
  <c r="P34" i="13"/>
  <c r="G34" i="13"/>
  <c r="J34" i="13"/>
  <c r="D34" i="13"/>
  <c r="M34" i="13"/>
  <c r="F34" i="13"/>
  <c r="I34" i="13"/>
  <c r="N34" i="13"/>
  <c r="Q26" i="13"/>
  <c r="G20" i="13"/>
  <c r="K20" i="13"/>
  <c r="O20" i="13"/>
  <c r="Q19" i="13"/>
  <c r="P17" i="13"/>
  <c r="P66" i="13" s="1"/>
  <c r="G17" i="13"/>
  <c r="G66" i="13" s="1"/>
  <c r="D17" i="13"/>
  <c r="D66" i="13" s="1"/>
  <c r="L17" i="13"/>
  <c r="L66" i="13" s="1"/>
  <c r="F64" i="13"/>
  <c r="H17" i="13"/>
  <c r="H66" i="13" s="1"/>
  <c r="O17" i="13"/>
  <c r="O66" i="13" s="1"/>
  <c r="K17" i="13"/>
  <c r="K66" i="13" s="1"/>
  <c r="Q14" i="13"/>
  <c r="J20" i="13"/>
  <c r="E20" i="13"/>
  <c r="I20" i="13"/>
  <c r="M20" i="13"/>
  <c r="F20" i="13"/>
  <c r="N20" i="13"/>
  <c r="Q9" i="13"/>
  <c r="Q10" i="13" s="1"/>
  <c r="L51" i="13"/>
  <c r="L64" i="13" s="1"/>
  <c r="Q7" i="13"/>
  <c r="H52" i="13"/>
  <c r="H53" i="13" s="1"/>
  <c r="H35" i="13"/>
  <c r="H58" i="13"/>
  <c r="H60" i="13" s="1"/>
  <c r="L52" i="13"/>
  <c r="L53" i="13" s="1"/>
  <c r="L58" i="13"/>
  <c r="L60" i="13" s="1"/>
  <c r="L35" i="13"/>
  <c r="O58" i="13"/>
  <c r="O60" i="13" s="1"/>
  <c r="O52" i="13"/>
  <c r="O53" i="13" s="1"/>
  <c r="O35" i="13"/>
  <c r="Q31" i="13"/>
  <c r="Q33" i="13" s="1"/>
  <c r="Q96" i="13" s="1"/>
  <c r="F57" i="13"/>
  <c r="N57" i="13"/>
  <c r="F63" i="13"/>
  <c r="N63" i="13"/>
  <c r="K99" i="13"/>
  <c r="Q13" i="13"/>
  <c r="Q15" i="13"/>
  <c r="J17" i="13"/>
  <c r="J66" i="13" s="1"/>
  <c r="I57" i="13"/>
  <c r="I63" i="13"/>
  <c r="F99" i="13"/>
  <c r="N99" i="13"/>
  <c r="D10" i="13"/>
  <c r="E17" i="13"/>
  <c r="E66" i="13" s="1"/>
  <c r="M17" i="13"/>
  <c r="M66" i="13" s="1"/>
  <c r="G40" i="13"/>
  <c r="Q48" i="13"/>
  <c r="Q99" i="13" s="1"/>
  <c r="Q50" i="13"/>
  <c r="J56" i="13"/>
  <c r="G110" i="13"/>
  <c r="O110" i="13"/>
  <c r="G41" i="13"/>
  <c r="G43" i="13" s="1"/>
  <c r="Q55" i="13"/>
  <c r="J99" i="13"/>
  <c r="E61" i="11"/>
  <c r="F61" i="11"/>
  <c r="G61" i="11"/>
  <c r="H61" i="11"/>
  <c r="I61" i="11"/>
  <c r="J61" i="11"/>
  <c r="K61" i="11"/>
  <c r="L61" i="11"/>
  <c r="M61" i="11"/>
  <c r="N61" i="11"/>
  <c r="O61" i="11"/>
  <c r="P61" i="11"/>
  <c r="D61" i="11"/>
  <c r="N35" i="13" l="1"/>
  <c r="N36" i="13" s="1"/>
  <c r="N152" i="13" s="1"/>
  <c r="N136" i="13"/>
  <c r="D35" i="13"/>
  <c r="D136" i="13"/>
  <c r="J52" i="13"/>
  <c r="J53" i="13" s="1"/>
  <c r="J136" i="13"/>
  <c r="G35" i="13"/>
  <c r="G136" i="13"/>
  <c r="P52" i="13"/>
  <c r="P53" i="13" s="1"/>
  <c r="P136" i="13"/>
  <c r="E58" i="13"/>
  <c r="E60" i="13" s="1"/>
  <c r="E136" i="13"/>
  <c r="F35" i="13"/>
  <c r="F36" i="13" s="1"/>
  <c r="F152" i="13" s="1"/>
  <c r="F136" i="13"/>
  <c r="M52" i="13"/>
  <c r="M53" i="13" s="1"/>
  <c r="M136" i="13"/>
  <c r="K52" i="13"/>
  <c r="K53" i="13" s="1"/>
  <c r="K136" i="13"/>
  <c r="I52" i="13"/>
  <c r="I53" i="13" s="1"/>
  <c r="I136" i="13"/>
  <c r="E52" i="13"/>
  <c r="E53" i="13" s="1"/>
  <c r="D58" i="13"/>
  <c r="D60" i="13" s="1"/>
  <c r="K35" i="13"/>
  <c r="K36" i="13" s="1"/>
  <c r="K152" i="13" s="1"/>
  <c r="H57" i="13"/>
  <c r="G57" i="13"/>
  <c r="P35" i="13"/>
  <c r="P36" i="13" s="1"/>
  <c r="P152" i="13" s="1"/>
  <c r="K58" i="13"/>
  <c r="K60" i="13" s="1"/>
  <c r="I58" i="13"/>
  <c r="I60" i="13" s="1"/>
  <c r="D52" i="13"/>
  <c r="D53" i="13" s="1"/>
  <c r="O36" i="13"/>
  <c r="O152" i="13" s="1"/>
  <c r="D57" i="13"/>
  <c r="L36" i="13"/>
  <c r="L152" i="13" s="1"/>
  <c r="H36" i="13"/>
  <c r="H152" i="13" s="1"/>
  <c r="Q89" i="13"/>
  <c r="P58" i="13"/>
  <c r="P60" i="13" s="1"/>
  <c r="D36" i="13"/>
  <c r="D152" i="13" s="1"/>
  <c r="J58" i="13"/>
  <c r="J60" i="13" s="1"/>
  <c r="G36" i="13"/>
  <c r="G152" i="13" s="1"/>
  <c r="Q40" i="13"/>
  <c r="Q43" i="13" s="1"/>
  <c r="G58" i="13"/>
  <c r="G60" i="13" s="1"/>
  <c r="E35" i="13"/>
  <c r="E36" i="13" s="1"/>
  <c r="E152" i="13" s="1"/>
  <c r="F52" i="13"/>
  <c r="F53" i="13" s="1"/>
  <c r="G52" i="13"/>
  <c r="G53" i="13" s="1"/>
  <c r="J35" i="13"/>
  <c r="J36" i="13" s="1"/>
  <c r="J152" i="13" s="1"/>
  <c r="F58" i="13"/>
  <c r="F60" i="13" s="1"/>
  <c r="I35" i="13"/>
  <c r="I36" i="13" s="1"/>
  <c r="I152" i="13" s="1"/>
  <c r="N58" i="13"/>
  <c r="N60" i="13" s="1"/>
  <c r="N52" i="13"/>
  <c r="N53" i="13" s="1"/>
  <c r="M58" i="13"/>
  <c r="M60" i="13" s="1"/>
  <c r="M35" i="13"/>
  <c r="M36" i="13" s="1"/>
  <c r="M152" i="13" s="1"/>
  <c r="L57" i="13"/>
  <c r="E57" i="13"/>
  <c r="K57" i="13"/>
  <c r="O57" i="13"/>
  <c r="Q20" i="13"/>
  <c r="P57" i="13"/>
  <c r="Q56" i="13"/>
  <c r="Q17" i="13"/>
  <c r="Q66" i="13" s="1"/>
  <c r="Q63" i="13"/>
  <c r="Q110" i="13"/>
  <c r="Q51" i="13"/>
  <c r="Q64" i="13" s="1"/>
  <c r="J57" i="13"/>
  <c r="M57" i="13"/>
  <c r="Q34" i="13"/>
  <c r="G100" i="11"/>
  <c r="G46" i="11"/>
  <c r="G38" i="11"/>
  <c r="I31" i="11"/>
  <c r="G31" i="11"/>
  <c r="D31" i="11"/>
  <c r="G28" i="11"/>
  <c r="G106" i="11" l="1"/>
  <c r="Q72" i="13"/>
  <c r="Q58" i="13"/>
  <c r="Q60" i="13" s="1"/>
  <c r="Q35" i="13"/>
  <c r="Q36" i="13" s="1"/>
  <c r="Q152" i="13" s="1"/>
  <c r="Q82" i="13"/>
  <c r="Q129" i="13"/>
  <c r="Q52" i="13"/>
  <c r="Q53" i="13" s="1"/>
  <c r="Q57" i="13"/>
  <c r="Q127" i="11"/>
  <c r="Q134" i="11" s="1"/>
  <c r="Q12" i="11"/>
  <c r="Q61" i="13" l="1"/>
  <c r="Q136" i="13"/>
  <c r="Q122" i="11"/>
  <c r="Q120" i="11"/>
  <c r="C120" i="11"/>
  <c r="Q113" i="11"/>
  <c r="Q111" i="11"/>
  <c r="P109" i="11"/>
  <c r="O109" i="11"/>
  <c r="N109" i="11"/>
  <c r="M109" i="11"/>
  <c r="L109" i="11"/>
  <c r="K109" i="11"/>
  <c r="J109" i="11"/>
  <c r="I109" i="11"/>
  <c r="H109" i="11"/>
  <c r="G109" i="11"/>
  <c r="F109" i="11"/>
  <c r="E109" i="11"/>
  <c r="D109" i="11"/>
  <c r="Q108" i="11"/>
  <c r="Q109" i="11" s="1"/>
  <c r="P107" i="11"/>
  <c r="O107" i="11"/>
  <c r="N107" i="11"/>
  <c r="M107" i="11"/>
  <c r="L107" i="11"/>
  <c r="K107" i="11"/>
  <c r="J107" i="11"/>
  <c r="H107" i="11"/>
  <c r="G107" i="11"/>
  <c r="F107" i="11"/>
  <c r="E107" i="11"/>
  <c r="D107" i="11"/>
  <c r="P106" i="11"/>
  <c r="O106" i="11"/>
  <c r="N106" i="11"/>
  <c r="M106" i="11"/>
  <c r="L106" i="11"/>
  <c r="K106" i="11"/>
  <c r="J106" i="11"/>
  <c r="I106" i="11"/>
  <c r="H106" i="11"/>
  <c r="F106" i="11"/>
  <c r="E106" i="11"/>
  <c r="D106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Q103" i="11"/>
  <c r="Q104" i="11" s="1"/>
  <c r="P101" i="11"/>
  <c r="O101" i="11"/>
  <c r="N101" i="11"/>
  <c r="M101" i="11"/>
  <c r="L101" i="11"/>
  <c r="K101" i="11"/>
  <c r="J101" i="11"/>
  <c r="I101" i="11"/>
  <c r="H101" i="11"/>
  <c r="F101" i="11"/>
  <c r="E101" i="11"/>
  <c r="D101" i="11"/>
  <c r="G101" i="11"/>
  <c r="Q98" i="11"/>
  <c r="Q95" i="11"/>
  <c r="Q88" i="11"/>
  <c r="Q73" i="11"/>
  <c r="Q65" i="11"/>
  <c r="Q131" i="11" s="1"/>
  <c r="P55" i="11"/>
  <c r="O55" i="11"/>
  <c r="O56" i="11" s="1"/>
  <c r="N55" i="11"/>
  <c r="N56" i="11" s="1"/>
  <c r="M55" i="11"/>
  <c r="M56" i="11" s="1"/>
  <c r="L55" i="11"/>
  <c r="L56" i="11" s="1"/>
  <c r="K55" i="11"/>
  <c r="K56" i="11" s="1"/>
  <c r="J55" i="11"/>
  <c r="J56" i="11" s="1"/>
  <c r="I55" i="11"/>
  <c r="I56" i="11" s="1"/>
  <c r="H55" i="11"/>
  <c r="G55" i="11"/>
  <c r="G56" i="11" s="1"/>
  <c r="F55" i="11"/>
  <c r="F56" i="11" s="1"/>
  <c r="E55" i="11"/>
  <c r="E56" i="11" s="1"/>
  <c r="D55" i="11"/>
  <c r="D56" i="11" s="1"/>
  <c r="Q54" i="11"/>
  <c r="P50" i="11"/>
  <c r="O50" i="11"/>
  <c r="N50" i="11"/>
  <c r="M50" i="11"/>
  <c r="K50" i="11"/>
  <c r="J50" i="11"/>
  <c r="I50" i="11"/>
  <c r="H50" i="11"/>
  <c r="G50" i="11"/>
  <c r="F50" i="11"/>
  <c r="E50" i="11"/>
  <c r="D50" i="11"/>
  <c r="P49" i="11"/>
  <c r="O49" i="11"/>
  <c r="N49" i="11"/>
  <c r="M49" i="11"/>
  <c r="L49" i="11"/>
  <c r="K49" i="11"/>
  <c r="J49" i="11"/>
  <c r="I49" i="11"/>
  <c r="H49" i="11"/>
  <c r="F49" i="11"/>
  <c r="E49" i="11"/>
  <c r="D49" i="11"/>
  <c r="P48" i="11"/>
  <c r="P99" i="11" s="1"/>
  <c r="O48" i="11"/>
  <c r="O99" i="11" s="1"/>
  <c r="N48" i="11"/>
  <c r="N110" i="11" s="1"/>
  <c r="M48" i="11"/>
  <c r="M99" i="11" s="1"/>
  <c r="L48" i="11"/>
  <c r="L99" i="11" s="1"/>
  <c r="K48" i="11"/>
  <c r="K99" i="11" s="1"/>
  <c r="J48" i="11"/>
  <c r="J110" i="11" s="1"/>
  <c r="I48" i="11"/>
  <c r="I110" i="11" s="1"/>
  <c r="H48" i="11"/>
  <c r="H99" i="11" s="1"/>
  <c r="F48" i="11"/>
  <c r="F110" i="11" s="1"/>
  <c r="E48" i="11"/>
  <c r="E99" i="11" s="1"/>
  <c r="D48" i="11"/>
  <c r="D99" i="11" s="1"/>
  <c r="Q47" i="11"/>
  <c r="Q50" i="11" s="1"/>
  <c r="Q46" i="11"/>
  <c r="G49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Q44" i="11"/>
  <c r="Q45" i="11" s="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P41" i="11"/>
  <c r="O41" i="11"/>
  <c r="N41" i="11"/>
  <c r="M41" i="11"/>
  <c r="L41" i="11"/>
  <c r="K41" i="11"/>
  <c r="J41" i="11"/>
  <c r="I41" i="11"/>
  <c r="H41" i="11"/>
  <c r="F41" i="11"/>
  <c r="E41" i="11"/>
  <c r="E43" i="11" s="1"/>
  <c r="D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Q39" i="11"/>
  <c r="Q42" i="11" s="1"/>
  <c r="Q38" i="11"/>
  <c r="Q41" i="11" s="1"/>
  <c r="P33" i="11"/>
  <c r="J33" i="11"/>
  <c r="H33" i="11"/>
  <c r="G33" i="11"/>
  <c r="F33" i="11"/>
  <c r="E33" i="11"/>
  <c r="Q32" i="11"/>
  <c r="O33" i="11"/>
  <c r="N33" i="11"/>
  <c r="M33" i="11"/>
  <c r="L33" i="11"/>
  <c r="K33" i="11"/>
  <c r="I33" i="11"/>
  <c r="D33" i="11"/>
  <c r="P30" i="11"/>
  <c r="O30" i="11"/>
  <c r="N30" i="11"/>
  <c r="M30" i="11"/>
  <c r="L30" i="11"/>
  <c r="K30" i="11"/>
  <c r="J30" i="11"/>
  <c r="I30" i="11"/>
  <c r="H30" i="11"/>
  <c r="F30" i="11"/>
  <c r="E30" i="11"/>
  <c r="D30" i="11"/>
  <c r="Q29" i="11"/>
  <c r="Q28" i="11"/>
  <c r="G30" i="11"/>
  <c r="Q27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Q25" i="11"/>
  <c r="Q24" i="11"/>
  <c r="Q23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Q21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Q16" i="11"/>
  <c r="P15" i="11"/>
  <c r="P17" i="11" s="1"/>
  <c r="P66" i="11" s="1"/>
  <c r="O15" i="11"/>
  <c r="O63" i="11" s="1"/>
  <c r="N15" i="11"/>
  <c r="N63" i="11" s="1"/>
  <c r="M15" i="11"/>
  <c r="M63" i="11" s="1"/>
  <c r="L15" i="11"/>
  <c r="L17" i="11" s="1"/>
  <c r="L66" i="11" s="1"/>
  <c r="K15" i="11"/>
  <c r="K63" i="11" s="1"/>
  <c r="J15" i="11"/>
  <c r="J63" i="11" s="1"/>
  <c r="I15" i="11"/>
  <c r="I17" i="11" s="1"/>
  <c r="I66" i="11" s="1"/>
  <c r="H15" i="11"/>
  <c r="H17" i="11" s="1"/>
  <c r="H66" i="11" s="1"/>
  <c r="G15" i="11"/>
  <c r="G63" i="11" s="1"/>
  <c r="F15" i="11"/>
  <c r="F63" i="11" s="1"/>
  <c r="E15" i="11"/>
  <c r="E63" i="11" s="1"/>
  <c r="D15" i="11"/>
  <c r="D17" i="11" s="1"/>
  <c r="D66" i="11" s="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Q11" i="11"/>
  <c r="Q13" i="11" s="1"/>
  <c r="L10" i="11"/>
  <c r="P9" i="11"/>
  <c r="P10" i="11" s="1"/>
  <c r="O9" i="11"/>
  <c r="O10" i="11" s="1"/>
  <c r="N9" i="11"/>
  <c r="N10" i="11" s="1"/>
  <c r="M9" i="11"/>
  <c r="M10" i="11" s="1"/>
  <c r="L9" i="11"/>
  <c r="K9" i="11"/>
  <c r="K10" i="11" s="1"/>
  <c r="J9" i="11"/>
  <c r="J10" i="11" s="1"/>
  <c r="I9" i="11"/>
  <c r="I10" i="11" s="1"/>
  <c r="H9" i="11"/>
  <c r="H10" i="11" s="1"/>
  <c r="G9" i="11"/>
  <c r="G10" i="11" s="1"/>
  <c r="F9" i="11"/>
  <c r="F10" i="11" s="1"/>
  <c r="E9" i="11"/>
  <c r="E10" i="11" s="1"/>
  <c r="D9" i="11"/>
  <c r="D10" i="11" s="1"/>
  <c r="Q8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Q6" i="11"/>
  <c r="Q5" i="11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F43" i="11" l="1"/>
  <c r="E51" i="11"/>
  <c r="E64" i="11" s="1"/>
  <c r="D43" i="11"/>
  <c r="F51" i="11"/>
  <c r="Q132" i="11"/>
  <c r="G51" i="11"/>
  <c r="G64" i="11" s="1"/>
  <c r="Q40" i="11"/>
  <c r="Q43" i="11" s="1"/>
  <c r="H34" i="11"/>
  <c r="Q22" i="11"/>
  <c r="M51" i="11"/>
  <c r="K17" i="11"/>
  <c r="K66" i="11" s="1"/>
  <c r="Q26" i="11"/>
  <c r="I51" i="11"/>
  <c r="I64" i="11" s="1"/>
  <c r="Q14" i="11"/>
  <c r="Q19" i="11"/>
  <c r="H43" i="11"/>
  <c r="L43" i="11"/>
  <c r="P43" i="11"/>
  <c r="J51" i="11"/>
  <c r="J64" i="11" s="1"/>
  <c r="N51" i="11"/>
  <c r="N64" i="11" s="1"/>
  <c r="Q128" i="11"/>
  <c r="D51" i="11"/>
  <c r="D64" i="11" s="1"/>
  <c r="H51" i="11"/>
  <c r="H64" i="11" s="1"/>
  <c r="L51" i="11"/>
  <c r="L64" i="11" s="1"/>
  <c r="P51" i="11"/>
  <c r="P64" i="11" s="1"/>
  <c r="K51" i="11"/>
  <c r="K64" i="11" s="1"/>
  <c r="O51" i="11"/>
  <c r="O64" i="11" s="1"/>
  <c r="D110" i="11"/>
  <c r="H110" i="11"/>
  <c r="P110" i="11"/>
  <c r="L110" i="11"/>
  <c r="K110" i="11"/>
  <c r="O110" i="11"/>
  <c r="K43" i="11"/>
  <c r="O43" i="11"/>
  <c r="J43" i="11"/>
  <c r="N43" i="11"/>
  <c r="I43" i="11"/>
  <c r="M43" i="11"/>
  <c r="P34" i="11"/>
  <c r="F34" i="11"/>
  <c r="G34" i="11"/>
  <c r="E34" i="11"/>
  <c r="J34" i="11"/>
  <c r="Q30" i="11"/>
  <c r="L34" i="11"/>
  <c r="D34" i="11"/>
  <c r="I34" i="11"/>
  <c r="M34" i="11"/>
  <c r="G20" i="11"/>
  <c r="K20" i="11"/>
  <c r="O20" i="11"/>
  <c r="F20" i="11"/>
  <c r="J20" i="11"/>
  <c r="N20" i="11"/>
  <c r="J17" i="11"/>
  <c r="J66" i="11" s="1"/>
  <c r="F64" i="11"/>
  <c r="G17" i="11"/>
  <c r="G66" i="11" s="1"/>
  <c r="F17" i="11"/>
  <c r="F66" i="11" s="1"/>
  <c r="N17" i="11"/>
  <c r="N66" i="11" s="1"/>
  <c r="M64" i="11"/>
  <c r="E20" i="11"/>
  <c r="I20" i="11"/>
  <c r="M20" i="11"/>
  <c r="Q9" i="11"/>
  <c r="Q10" i="11" s="1"/>
  <c r="D20" i="11"/>
  <c r="H20" i="11"/>
  <c r="L20" i="11"/>
  <c r="P20" i="11"/>
  <c r="Q7" i="11"/>
  <c r="G52" i="11"/>
  <c r="G53" i="11" s="1"/>
  <c r="K34" i="11"/>
  <c r="K136" i="11" s="1"/>
  <c r="O34" i="11"/>
  <c r="O136" i="11" s="1"/>
  <c r="N34" i="11"/>
  <c r="N136" i="11" s="1"/>
  <c r="H57" i="11"/>
  <c r="P57" i="11"/>
  <c r="Q15" i="11"/>
  <c r="Q55" i="11"/>
  <c r="I63" i="11"/>
  <c r="F99" i="11"/>
  <c r="N99" i="11"/>
  <c r="Q107" i="11"/>
  <c r="E17" i="11"/>
  <c r="E66" i="11" s="1"/>
  <c r="M17" i="11"/>
  <c r="M66" i="11" s="1"/>
  <c r="D57" i="11"/>
  <c r="L57" i="11"/>
  <c r="D63" i="11"/>
  <c r="L63" i="11"/>
  <c r="I99" i="11"/>
  <c r="O17" i="11"/>
  <c r="O66" i="11" s="1"/>
  <c r="Q18" i="11"/>
  <c r="Q31" i="11"/>
  <c r="Q33" i="11" s="1"/>
  <c r="Q96" i="11" s="1"/>
  <c r="G41" i="11"/>
  <c r="G43" i="11" s="1"/>
  <c r="G48" i="11"/>
  <c r="Q49" i="11"/>
  <c r="H56" i="11"/>
  <c r="P56" i="11"/>
  <c r="Q100" i="11"/>
  <c r="Q101" i="11" s="1"/>
  <c r="E110" i="11"/>
  <c r="M110" i="11"/>
  <c r="I57" i="11"/>
  <c r="J99" i="11"/>
  <c r="E52" i="11"/>
  <c r="E53" i="11" s="1"/>
  <c r="H63" i="11"/>
  <c r="P63" i="11"/>
  <c r="L107" i="9"/>
  <c r="G107" i="9"/>
  <c r="H52" i="11" l="1"/>
  <c r="H53" i="11" s="1"/>
  <c r="H136" i="11"/>
  <c r="M52" i="11"/>
  <c r="M53" i="11" s="1"/>
  <c r="M136" i="11"/>
  <c r="E58" i="11"/>
  <c r="E60" i="11" s="1"/>
  <c r="E136" i="11"/>
  <c r="G35" i="11"/>
  <c r="G36" i="11" s="1"/>
  <c r="G152" i="11" s="1"/>
  <c r="G136" i="11"/>
  <c r="F35" i="11"/>
  <c r="F136" i="11"/>
  <c r="J35" i="11"/>
  <c r="J36" i="11" s="1"/>
  <c r="J152" i="11" s="1"/>
  <c r="J136" i="11"/>
  <c r="P52" i="11"/>
  <c r="P53" i="11" s="1"/>
  <c r="P136" i="11"/>
  <c r="I58" i="11"/>
  <c r="I60" i="11" s="1"/>
  <c r="I136" i="11"/>
  <c r="D52" i="11"/>
  <c r="D53" i="11" s="1"/>
  <c r="D136" i="11"/>
  <c r="L58" i="11"/>
  <c r="L60" i="11" s="1"/>
  <c r="L136" i="11"/>
  <c r="H58" i="11"/>
  <c r="H60" i="11" s="1"/>
  <c r="H35" i="11"/>
  <c r="H36" i="11" s="1"/>
  <c r="H152" i="11" s="1"/>
  <c r="I35" i="11"/>
  <c r="I36" i="11" s="1"/>
  <c r="I152" i="11" s="1"/>
  <c r="F58" i="11"/>
  <c r="F60" i="11" s="1"/>
  <c r="F52" i="11"/>
  <c r="F53" i="11" s="1"/>
  <c r="J52" i="11"/>
  <c r="J53" i="11" s="1"/>
  <c r="J58" i="11"/>
  <c r="J60" i="11" s="1"/>
  <c r="K57" i="11"/>
  <c r="P58" i="11"/>
  <c r="P60" i="11" s="1"/>
  <c r="Q20" i="11"/>
  <c r="L35" i="11"/>
  <c r="L36" i="11" s="1"/>
  <c r="L152" i="11" s="1"/>
  <c r="M58" i="11"/>
  <c r="M60" i="11" s="1"/>
  <c r="G58" i="11"/>
  <c r="G60" i="11" s="1"/>
  <c r="L52" i="11"/>
  <c r="L53" i="11" s="1"/>
  <c r="E35" i="11"/>
  <c r="E36" i="11" s="1"/>
  <c r="E152" i="11" s="1"/>
  <c r="P35" i="11"/>
  <c r="P36" i="11" s="1"/>
  <c r="P152" i="11" s="1"/>
  <c r="I52" i="11"/>
  <c r="I53" i="11" s="1"/>
  <c r="D58" i="11"/>
  <c r="D60" i="11" s="1"/>
  <c r="D35" i="11"/>
  <c r="D36" i="11" s="1"/>
  <c r="D152" i="11" s="1"/>
  <c r="M35" i="11"/>
  <c r="M36" i="11" s="1"/>
  <c r="M152" i="11" s="1"/>
  <c r="F57" i="11"/>
  <c r="J57" i="11"/>
  <c r="G57" i="11"/>
  <c r="F36" i="11"/>
  <c r="F152" i="11" s="1"/>
  <c r="N57" i="11"/>
  <c r="O52" i="11"/>
  <c r="O53" i="11" s="1"/>
  <c r="O58" i="11"/>
  <c r="O60" i="11" s="1"/>
  <c r="O35" i="11"/>
  <c r="O36" i="11" s="1"/>
  <c r="O152" i="11" s="1"/>
  <c r="Q56" i="11"/>
  <c r="N58" i="11"/>
  <c r="N60" i="11" s="1"/>
  <c r="N35" i="11"/>
  <c r="N36" i="11" s="1"/>
  <c r="N152" i="11" s="1"/>
  <c r="N52" i="11"/>
  <c r="N53" i="11" s="1"/>
  <c r="G110" i="11"/>
  <c r="G99" i="11"/>
  <c r="O57" i="11"/>
  <c r="Q34" i="11"/>
  <c r="Q17" i="11"/>
  <c r="Q66" i="11" s="1"/>
  <c r="Q63" i="11"/>
  <c r="K58" i="11"/>
  <c r="K60" i="11" s="1"/>
  <c r="K35" i="11"/>
  <c r="K36" i="11" s="1"/>
  <c r="K152" i="11" s="1"/>
  <c r="K52" i="11"/>
  <c r="K53" i="11" s="1"/>
  <c r="Q106" i="11"/>
  <c r="Q48" i="11"/>
  <c r="E57" i="11"/>
  <c r="M57" i="11"/>
  <c r="Q133" i="9"/>
  <c r="Q110" i="11" l="1"/>
  <c r="Q51" i="11"/>
  <c r="Q64" i="11" s="1"/>
  <c r="Q99" i="11"/>
  <c r="Q89" i="11"/>
  <c r="Q72" i="11"/>
  <c r="Q58" i="11"/>
  <c r="Q60" i="11" s="1"/>
  <c r="Q35" i="11"/>
  <c r="Q36" i="11" s="1"/>
  <c r="Q152" i="11" s="1"/>
  <c r="Q129" i="11"/>
  <c r="Q52" i="11"/>
  <c r="Q53" i="11" s="1"/>
  <c r="Q82" i="11"/>
  <c r="Q57" i="11"/>
  <c r="G100" i="9"/>
  <c r="G46" i="9"/>
  <c r="G38" i="9"/>
  <c r="N32" i="9"/>
  <c r="N31" i="9"/>
  <c r="K32" i="9"/>
  <c r="K31" i="9"/>
  <c r="O31" i="9"/>
  <c r="M31" i="9"/>
  <c r="L31" i="9"/>
  <c r="I31" i="9"/>
  <c r="G31" i="9"/>
  <c r="F31" i="9"/>
  <c r="D31" i="9"/>
  <c r="G28" i="9"/>
  <c r="Q61" i="11" l="1"/>
  <c r="Q136" i="11"/>
  <c r="Q120" i="9"/>
  <c r="Q122" i="9"/>
  <c r="Q127" i="9"/>
  <c r="Q134" i="9" s="1"/>
  <c r="C120" i="9"/>
  <c r="Q113" i="9"/>
  <c r="Q111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Q108" i="9"/>
  <c r="Q109" i="9" s="1"/>
  <c r="P107" i="9"/>
  <c r="O107" i="9"/>
  <c r="N107" i="9"/>
  <c r="M107" i="9"/>
  <c r="K107" i="9"/>
  <c r="J107" i="9"/>
  <c r="H107" i="9"/>
  <c r="F107" i="9"/>
  <c r="E107" i="9"/>
  <c r="D107" i="9"/>
  <c r="P106" i="9"/>
  <c r="O106" i="9"/>
  <c r="N106" i="9"/>
  <c r="M106" i="9"/>
  <c r="L106" i="9"/>
  <c r="K106" i="9"/>
  <c r="J106" i="9"/>
  <c r="I106" i="9"/>
  <c r="H106" i="9"/>
  <c r="F106" i="9"/>
  <c r="E106" i="9"/>
  <c r="D106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Q103" i="9"/>
  <c r="Q104" i="9" s="1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Q100" i="9"/>
  <c r="Q98" i="9"/>
  <c r="Q95" i="9"/>
  <c r="Q88" i="9"/>
  <c r="Q73" i="9"/>
  <c r="Q65" i="9"/>
  <c r="Q131" i="9" s="1"/>
  <c r="P55" i="9"/>
  <c r="P56" i="9" s="1"/>
  <c r="O55" i="9"/>
  <c r="O56" i="9" s="1"/>
  <c r="N55" i="9"/>
  <c r="N56" i="9" s="1"/>
  <c r="M55" i="9"/>
  <c r="M56" i="9" s="1"/>
  <c r="L55" i="9"/>
  <c r="L56" i="9" s="1"/>
  <c r="K55" i="9"/>
  <c r="J55" i="9"/>
  <c r="J56" i="9" s="1"/>
  <c r="I55" i="9"/>
  <c r="I56" i="9" s="1"/>
  <c r="H55" i="9"/>
  <c r="H56" i="9" s="1"/>
  <c r="G55" i="9"/>
  <c r="G56" i="9" s="1"/>
  <c r="F55" i="9"/>
  <c r="F56" i="9" s="1"/>
  <c r="E55" i="9"/>
  <c r="E56" i="9" s="1"/>
  <c r="D55" i="9"/>
  <c r="D56" i="9" s="1"/>
  <c r="Q54" i="9"/>
  <c r="P50" i="9"/>
  <c r="O50" i="9"/>
  <c r="N50" i="9"/>
  <c r="M50" i="9"/>
  <c r="K50" i="9"/>
  <c r="J50" i="9"/>
  <c r="I50" i="9"/>
  <c r="H50" i="9"/>
  <c r="G50" i="9"/>
  <c r="F50" i="9"/>
  <c r="E50" i="9"/>
  <c r="D50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P48" i="9"/>
  <c r="P110" i="9" s="1"/>
  <c r="O48" i="9"/>
  <c r="O110" i="9" s="1"/>
  <c r="N48" i="9"/>
  <c r="N110" i="9" s="1"/>
  <c r="M48" i="9"/>
  <c r="M99" i="9" s="1"/>
  <c r="L48" i="9"/>
  <c r="L99" i="9" s="1"/>
  <c r="K48" i="9"/>
  <c r="K99" i="9" s="1"/>
  <c r="J48" i="9"/>
  <c r="J110" i="9" s="1"/>
  <c r="I48" i="9"/>
  <c r="I99" i="9" s="1"/>
  <c r="H48" i="9"/>
  <c r="H110" i="9" s="1"/>
  <c r="G48" i="9"/>
  <c r="G110" i="9" s="1"/>
  <c r="F48" i="9"/>
  <c r="F110" i="9" s="1"/>
  <c r="E48" i="9"/>
  <c r="E99" i="9" s="1"/>
  <c r="D48" i="9"/>
  <c r="Q47" i="9"/>
  <c r="Q50" i="9" s="1"/>
  <c r="Q46" i="9"/>
  <c r="Q49" i="9" s="1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Q44" i="9"/>
  <c r="Q45" i="9" s="1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Q39" i="9"/>
  <c r="Q42" i="9" s="1"/>
  <c r="Q38" i="9"/>
  <c r="Q41" i="9" s="1"/>
  <c r="P33" i="9"/>
  <c r="O33" i="9"/>
  <c r="N33" i="9"/>
  <c r="K33" i="9"/>
  <c r="J33" i="9"/>
  <c r="H33" i="9"/>
  <c r="E33" i="9"/>
  <c r="Q32" i="9"/>
  <c r="M33" i="9"/>
  <c r="L33" i="9"/>
  <c r="I33" i="9"/>
  <c r="G33" i="9"/>
  <c r="F33" i="9"/>
  <c r="D33" i="9"/>
  <c r="P30" i="9"/>
  <c r="O30" i="9"/>
  <c r="N30" i="9"/>
  <c r="M30" i="9"/>
  <c r="L30" i="9"/>
  <c r="K30" i="9"/>
  <c r="K34" i="9" s="1"/>
  <c r="K136" i="9" s="1"/>
  <c r="J30" i="9"/>
  <c r="I30" i="9"/>
  <c r="H30" i="9"/>
  <c r="G30" i="9"/>
  <c r="F30" i="9"/>
  <c r="E30" i="9"/>
  <c r="D30" i="9"/>
  <c r="Q29" i="9"/>
  <c r="Q28" i="9"/>
  <c r="Q27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Q25" i="9"/>
  <c r="Q24" i="9"/>
  <c r="Q23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Q21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Q16" i="9"/>
  <c r="P15" i="9"/>
  <c r="P63" i="9" s="1"/>
  <c r="O15" i="9"/>
  <c r="O17" i="9" s="1"/>
  <c r="O66" i="9" s="1"/>
  <c r="N15" i="9"/>
  <c r="N63" i="9" s="1"/>
  <c r="M15" i="9"/>
  <c r="M63" i="9" s="1"/>
  <c r="L15" i="9"/>
  <c r="L63" i="9" s="1"/>
  <c r="K15" i="9"/>
  <c r="K63" i="9" s="1"/>
  <c r="J15" i="9"/>
  <c r="J63" i="9" s="1"/>
  <c r="I15" i="9"/>
  <c r="I63" i="9" s="1"/>
  <c r="H15" i="9"/>
  <c r="H63" i="9" s="1"/>
  <c r="G15" i="9"/>
  <c r="G63" i="9" s="1"/>
  <c r="F15" i="9"/>
  <c r="F63" i="9" s="1"/>
  <c r="E15" i="9"/>
  <c r="E63" i="9" s="1"/>
  <c r="D15" i="9"/>
  <c r="D63" i="9" s="1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Q12" i="9"/>
  <c r="Q11" i="9"/>
  <c r="P9" i="9"/>
  <c r="P10" i="9" s="1"/>
  <c r="O9" i="9"/>
  <c r="O10" i="9" s="1"/>
  <c r="N9" i="9"/>
  <c r="N10" i="9" s="1"/>
  <c r="M9" i="9"/>
  <c r="M10" i="9" s="1"/>
  <c r="L9" i="9"/>
  <c r="L10" i="9" s="1"/>
  <c r="K9" i="9"/>
  <c r="K10" i="9" s="1"/>
  <c r="J9" i="9"/>
  <c r="J10" i="9" s="1"/>
  <c r="I9" i="9"/>
  <c r="I10" i="9" s="1"/>
  <c r="H9" i="9"/>
  <c r="H10" i="9" s="1"/>
  <c r="G9" i="9"/>
  <c r="G10" i="9" s="1"/>
  <c r="F9" i="9"/>
  <c r="F10" i="9" s="1"/>
  <c r="E9" i="9"/>
  <c r="E10" i="9" s="1"/>
  <c r="D9" i="9"/>
  <c r="Q8" i="9"/>
  <c r="P7" i="9"/>
  <c r="O7" i="9"/>
  <c r="N7" i="9"/>
  <c r="M7" i="9"/>
  <c r="L7" i="9"/>
  <c r="K7" i="9"/>
  <c r="J7" i="9"/>
  <c r="I7" i="9"/>
  <c r="H7" i="9"/>
  <c r="G7" i="9"/>
  <c r="F7" i="9"/>
  <c r="E7" i="9"/>
  <c r="D7" i="9"/>
  <c r="Q6" i="9"/>
  <c r="Q5" i="9"/>
  <c r="Q133" i="7"/>
  <c r="G34" i="9" l="1"/>
  <c r="G136" i="9" s="1"/>
  <c r="Q132" i="9"/>
  <c r="J34" i="9"/>
  <c r="J136" i="9" s="1"/>
  <c r="D17" i="9"/>
  <c r="D66" i="9" s="1"/>
  <c r="G43" i="9"/>
  <c r="D51" i="9"/>
  <c r="D64" i="9" s="1"/>
  <c r="P51" i="9"/>
  <c r="P64" i="9" s="1"/>
  <c r="O63" i="9"/>
  <c r="K17" i="9"/>
  <c r="K66" i="9" s="1"/>
  <c r="Q128" i="9"/>
  <c r="M51" i="9"/>
  <c r="M64" i="9" s="1"/>
  <c r="I51" i="9"/>
  <c r="I64" i="9" s="1"/>
  <c r="H51" i="9"/>
  <c r="H64" i="9" s="1"/>
  <c r="E51" i="9"/>
  <c r="E64" i="9" s="1"/>
  <c r="Q106" i="9"/>
  <c r="O43" i="9"/>
  <c r="K43" i="9"/>
  <c r="E34" i="9"/>
  <c r="L17" i="9"/>
  <c r="L66" i="9" s="1"/>
  <c r="N34" i="9"/>
  <c r="Q101" i="9"/>
  <c r="G51" i="9"/>
  <c r="G64" i="9" s="1"/>
  <c r="K51" i="9"/>
  <c r="K64" i="9" s="1"/>
  <c r="O51" i="9"/>
  <c r="O64" i="9" s="1"/>
  <c r="M110" i="9"/>
  <c r="F51" i="9"/>
  <c r="F64" i="9" s="1"/>
  <c r="J51" i="9"/>
  <c r="J64" i="9" s="1"/>
  <c r="N51" i="9"/>
  <c r="N64" i="9" s="1"/>
  <c r="E110" i="9"/>
  <c r="I110" i="9"/>
  <c r="Q48" i="9"/>
  <c r="Q51" i="9" s="1"/>
  <c r="F43" i="9"/>
  <c r="J43" i="9"/>
  <c r="N43" i="9"/>
  <c r="E43" i="9"/>
  <c r="I43" i="9"/>
  <c r="M43" i="9"/>
  <c r="D43" i="9"/>
  <c r="H43" i="9"/>
  <c r="L43" i="9"/>
  <c r="P43" i="9"/>
  <c r="Q40" i="9"/>
  <c r="Q43" i="9" s="1"/>
  <c r="H34" i="9"/>
  <c r="P34" i="9"/>
  <c r="O34" i="9"/>
  <c r="Q30" i="9"/>
  <c r="I34" i="9"/>
  <c r="M34" i="9"/>
  <c r="Q26" i="9"/>
  <c r="Q19" i="9"/>
  <c r="E20" i="9"/>
  <c r="I20" i="9"/>
  <c r="M20" i="9"/>
  <c r="Q13" i="9"/>
  <c r="K57" i="9"/>
  <c r="H17" i="9"/>
  <c r="H66" i="9" s="1"/>
  <c r="P17" i="9"/>
  <c r="P66" i="9" s="1"/>
  <c r="G17" i="9"/>
  <c r="G66" i="9" s="1"/>
  <c r="Q14" i="9"/>
  <c r="Q9" i="9"/>
  <c r="Q10" i="9" s="1"/>
  <c r="D20" i="9"/>
  <c r="H20" i="9"/>
  <c r="L20" i="9"/>
  <c r="P20" i="9"/>
  <c r="G20" i="9"/>
  <c r="K20" i="9"/>
  <c r="O20" i="9"/>
  <c r="F20" i="9"/>
  <c r="J20" i="9"/>
  <c r="N20" i="9"/>
  <c r="Q7" i="9"/>
  <c r="L51" i="9"/>
  <c r="L64" i="9" s="1"/>
  <c r="J58" i="9"/>
  <c r="J60" i="9" s="1"/>
  <c r="J35" i="9"/>
  <c r="J52" i="9"/>
  <c r="J53" i="9" s="1"/>
  <c r="G52" i="9"/>
  <c r="G53" i="9" s="1"/>
  <c r="G35" i="9"/>
  <c r="G58" i="9"/>
  <c r="G60" i="9" s="1"/>
  <c r="K52" i="9"/>
  <c r="K53" i="9" s="1"/>
  <c r="K35" i="9"/>
  <c r="K58" i="9"/>
  <c r="K60" i="9" s="1"/>
  <c r="F34" i="9"/>
  <c r="F136" i="9" s="1"/>
  <c r="D34" i="9"/>
  <c r="D136" i="9" s="1"/>
  <c r="L34" i="9"/>
  <c r="L136" i="9" s="1"/>
  <c r="Q18" i="9"/>
  <c r="O57" i="9"/>
  <c r="H99" i="9"/>
  <c r="P99" i="9"/>
  <c r="Q15" i="9"/>
  <c r="J17" i="9"/>
  <c r="J66" i="9" s="1"/>
  <c r="Q22" i="9"/>
  <c r="Q31" i="9"/>
  <c r="Q33" i="9" s="1"/>
  <c r="Q96" i="9" s="1"/>
  <c r="G99" i="9"/>
  <c r="O99" i="9"/>
  <c r="D110" i="9"/>
  <c r="L110" i="9"/>
  <c r="D10" i="9"/>
  <c r="E17" i="9"/>
  <c r="E66" i="9" s="1"/>
  <c r="I17" i="9"/>
  <c r="I66" i="9" s="1"/>
  <c r="M17" i="9"/>
  <c r="M66" i="9" s="1"/>
  <c r="Q55" i="9"/>
  <c r="K56" i="9"/>
  <c r="F99" i="9"/>
  <c r="J99" i="9"/>
  <c r="N99" i="9"/>
  <c r="K110" i="9"/>
  <c r="D99" i="9"/>
  <c r="F17" i="9"/>
  <c r="F66" i="9" s="1"/>
  <c r="N17" i="9"/>
  <c r="N66" i="9" s="1"/>
  <c r="Q107" i="9"/>
  <c r="Q122" i="7"/>
  <c r="E61" i="7"/>
  <c r="F61" i="7"/>
  <c r="G61" i="7"/>
  <c r="H61" i="7"/>
  <c r="I61" i="7"/>
  <c r="J61" i="7"/>
  <c r="K61" i="7"/>
  <c r="L61" i="7"/>
  <c r="M61" i="7"/>
  <c r="N61" i="7"/>
  <c r="O61" i="7"/>
  <c r="P61" i="7"/>
  <c r="D61" i="7"/>
  <c r="O58" i="9" l="1"/>
  <c r="O60" i="9" s="1"/>
  <c r="O136" i="9"/>
  <c r="E52" i="9"/>
  <c r="E53" i="9" s="1"/>
  <c r="E136" i="9"/>
  <c r="P52" i="9"/>
  <c r="P53" i="9" s="1"/>
  <c r="P136" i="9"/>
  <c r="H52" i="9"/>
  <c r="H53" i="9" s="1"/>
  <c r="H136" i="9"/>
  <c r="M52" i="9"/>
  <c r="M53" i="9" s="1"/>
  <c r="M136" i="9"/>
  <c r="N52" i="9"/>
  <c r="N53" i="9" s="1"/>
  <c r="N136" i="9"/>
  <c r="D57" i="9"/>
  <c r="I52" i="9"/>
  <c r="I53" i="9" s="1"/>
  <c r="I136" i="9"/>
  <c r="E58" i="9"/>
  <c r="E60" i="9" s="1"/>
  <c r="P58" i="9"/>
  <c r="P60" i="9" s="1"/>
  <c r="O52" i="9"/>
  <c r="O53" i="9" s="1"/>
  <c r="P35" i="9"/>
  <c r="P36" i="9" s="1"/>
  <c r="P152" i="9" s="1"/>
  <c r="M58" i="9"/>
  <c r="M60" i="9" s="1"/>
  <c r="M35" i="9"/>
  <c r="M36" i="9" s="1"/>
  <c r="M152" i="9" s="1"/>
  <c r="K36" i="9"/>
  <c r="K152" i="9" s="1"/>
  <c r="Q89" i="9"/>
  <c r="Q99" i="9"/>
  <c r="I35" i="9"/>
  <c r="I36" i="9" s="1"/>
  <c r="I152" i="9" s="1"/>
  <c r="I58" i="9"/>
  <c r="I60" i="9" s="1"/>
  <c r="H35" i="9"/>
  <c r="O35" i="9"/>
  <c r="O36" i="9" s="1"/>
  <c r="O152" i="9" s="1"/>
  <c r="N35" i="9"/>
  <c r="N36" i="9" s="1"/>
  <c r="N152" i="9" s="1"/>
  <c r="E35" i="9"/>
  <c r="E36" i="9" s="1"/>
  <c r="E152" i="9" s="1"/>
  <c r="H36" i="9"/>
  <c r="H152" i="9" s="1"/>
  <c r="F57" i="9"/>
  <c r="L57" i="9"/>
  <c r="J57" i="9"/>
  <c r="H57" i="9"/>
  <c r="N58" i="9"/>
  <c r="N60" i="9" s="1"/>
  <c r="Q34" i="9"/>
  <c r="Q52" i="9" s="1"/>
  <c r="Q53" i="9" s="1"/>
  <c r="Q110" i="9"/>
  <c r="H58" i="9"/>
  <c r="H60" i="9" s="1"/>
  <c r="G57" i="9"/>
  <c r="G36" i="9"/>
  <c r="G152" i="9" s="1"/>
  <c r="P57" i="9"/>
  <c r="N57" i="9"/>
  <c r="I57" i="9"/>
  <c r="Q20" i="9"/>
  <c r="Q63" i="9"/>
  <c r="Q17" i="9"/>
  <c r="Q66" i="9" s="1"/>
  <c r="D35" i="9"/>
  <c r="D36" i="9" s="1"/>
  <c r="D152" i="9" s="1"/>
  <c r="D52" i="9"/>
  <c r="D53" i="9" s="1"/>
  <c r="D58" i="9"/>
  <c r="D60" i="9" s="1"/>
  <c r="L35" i="9"/>
  <c r="L36" i="9" s="1"/>
  <c r="L152" i="9" s="1"/>
  <c r="L52" i="9"/>
  <c r="L53" i="9" s="1"/>
  <c r="L58" i="9"/>
  <c r="L60" i="9" s="1"/>
  <c r="Q56" i="9"/>
  <c r="F58" i="9"/>
  <c r="F60" i="9" s="1"/>
  <c r="F35" i="9"/>
  <c r="F36" i="9" s="1"/>
  <c r="F152" i="9" s="1"/>
  <c r="F52" i="9"/>
  <c r="F53" i="9" s="1"/>
  <c r="M57" i="9"/>
  <c r="J36" i="9"/>
  <c r="J152" i="9" s="1"/>
  <c r="E57" i="9"/>
  <c r="Q64" i="9"/>
  <c r="O31" i="7"/>
  <c r="N31" i="7"/>
  <c r="M31" i="7"/>
  <c r="L31" i="7"/>
  <c r="K31" i="7"/>
  <c r="I31" i="7"/>
  <c r="G31" i="7"/>
  <c r="F31" i="7"/>
  <c r="D31" i="7"/>
  <c r="Q35" i="9" l="1"/>
  <c r="Q36" i="9" s="1"/>
  <c r="Q152" i="9" s="1"/>
  <c r="Q57" i="9"/>
  <c r="Q129" i="9"/>
  <c r="Q58" i="9"/>
  <c r="Q60" i="9" s="1"/>
  <c r="Q72" i="9"/>
  <c r="Q82" i="9"/>
  <c r="Q127" i="7"/>
  <c r="Q120" i="7"/>
  <c r="C120" i="7"/>
  <c r="Q113" i="7"/>
  <c r="Q111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Q108" i="7"/>
  <c r="Q109" i="7" s="1"/>
  <c r="P107" i="7"/>
  <c r="O107" i="7"/>
  <c r="N107" i="7"/>
  <c r="M107" i="7"/>
  <c r="K107" i="7"/>
  <c r="J107" i="7"/>
  <c r="H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F106" i="7"/>
  <c r="E106" i="7"/>
  <c r="D106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Q103" i="7"/>
  <c r="Q104" i="7" s="1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Q100" i="7"/>
  <c r="Q101" i="7" s="1"/>
  <c r="Q98" i="7"/>
  <c r="Q95" i="7"/>
  <c r="Q88" i="7"/>
  <c r="Q73" i="7"/>
  <c r="Q65" i="7"/>
  <c r="Q131" i="7" s="1"/>
  <c r="P55" i="7"/>
  <c r="O55" i="7"/>
  <c r="O56" i="7" s="1"/>
  <c r="N55" i="7"/>
  <c r="N56" i="7" s="1"/>
  <c r="M55" i="7"/>
  <c r="L55" i="7"/>
  <c r="K55" i="7"/>
  <c r="K56" i="7" s="1"/>
  <c r="J55" i="7"/>
  <c r="J56" i="7" s="1"/>
  <c r="I55" i="7"/>
  <c r="H55" i="7"/>
  <c r="G55" i="7"/>
  <c r="G56" i="7" s="1"/>
  <c r="F55" i="7"/>
  <c r="F56" i="7" s="1"/>
  <c r="E55" i="7"/>
  <c r="D55" i="7"/>
  <c r="Q54" i="7"/>
  <c r="P50" i="7"/>
  <c r="O50" i="7"/>
  <c r="N50" i="7"/>
  <c r="M50" i="7"/>
  <c r="K50" i="7"/>
  <c r="J50" i="7"/>
  <c r="I50" i="7"/>
  <c r="H50" i="7"/>
  <c r="G50" i="7"/>
  <c r="F50" i="7"/>
  <c r="E50" i="7"/>
  <c r="D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P48" i="7"/>
  <c r="P110" i="7" s="1"/>
  <c r="O48" i="7"/>
  <c r="O99" i="7" s="1"/>
  <c r="N48" i="7"/>
  <c r="N110" i="7" s="1"/>
  <c r="M48" i="7"/>
  <c r="M99" i="7" s="1"/>
  <c r="L48" i="7"/>
  <c r="L110" i="7" s="1"/>
  <c r="K48" i="7"/>
  <c r="K99" i="7" s="1"/>
  <c r="J48" i="7"/>
  <c r="J110" i="7" s="1"/>
  <c r="I48" i="7"/>
  <c r="I99" i="7" s="1"/>
  <c r="H48" i="7"/>
  <c r="H110" i="7" s="1"/>
  <c r="G48" i="7"/>
  <c r="G99" i="7" s="1"/>
  <c r="F48" i="7"/>
  <c r="F110" i="7" s="1"/>
  <c r="E48" i="7"/>
  <c r="E99" i="7" s="1"/>
  <c r="D48" i="7"/>
  <c r="Q47" i="7"/>
  <c r="Q50" i="7" s="1"/>
  <c r="Q46" i="7"/>
  <c r="Q49" i="7" s="1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Q44" i="7"/>
  <c r="Q45" i="7" s="1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Q39" i="7"/>
  <c r="Q42" i="7" s="1"/>
  <c r="Q38" i="7"/>
  <c r="Q41" i="7" s="1"/>
  <c r="P33" i="7"/>
  <c r="M33" i="7"/>
  <c r="J33" i="7"/>
  <c r="I33" i="7"/>
  <c r="H33" i="7"/>
  <c r="E33" i="7"/>
  <c r="Q32" i="7"/>
  <c r="O33" i="7"/>
  <c r="N33" i="7"/>
  <c r="L33" i="7"/>
  <c r="K33" i="7"/>
  <c r="G33" i="7"/>
  <c r="F33" i="7"/>
  <c r="D33" i="7"/>
  <c r="P30" i="7"/>
  <c r="O30" i="7"/>
  <c r="N30" i="7"/>
  <c r="M30" i="7"/>
  <c r="L30" i="7"/>
  <c r="K30" i="7"/>
  <c r="J30" i="7"/>
  <c r="I30" i="7"/>
  <c r="H30" i="7"/>
  <c r="H34" i="7" s="1"/>
  <c r="H137" i="7" s="1"/>
  <c r="G30" i="7"/>
  <c r="F30" i="7"/>
  <c r="F34" i="7" s="1"/>
  <c r="F137" i="7" s="1"/>
  <c r="E30" i="7"/>
  <c r="D30" i="7"/>
  <c r="Q29" i="7"/>
  <c r="Q28" i="7"/>
  <c r="Q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Q25" i="7"/>
  <c r="Q24" i="7"/>
  <c r="Q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Q21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Q16" i="7"/>
  <c r="P15" i="7"/>
  <c r="P63" i="7" s="1"/>
  <c r="O15" i="7"/>
  <c r="O17" i="7" s="1"/>
  <c r="O66" i="7" s="1"/>
  <c r="N15" i="7"/>
  <c r="N63" i="7" s="1"/>
  <c r="M15" i="7"/>
  <c r="M63" i="7" s="1"/>
  <c r="L15" i="7"/>
  <c r="L63" i="7" s="1"/>
  <c r="K15" i="7"/>
  <c r="K17" i="7" s="1"/>
  <c r="K66" i="7" s="1"/>
  <c r="J15" i="7"/>
  <c r="J63" i="7" s="1"/>
  <c r="I15" i="7"/>
  <c r="I63" i="7" s="1"/>
  <c r="H15" i="7"/>
  <c r="H63" i="7" s="1"/>
  <c r="G15" i="7"/>
  <c r="G17" i="7" s="1"/>
  <c r="G66" i="7" s="1"/>
  <c r="F15" i="7"/>
  <c r="F63" i="7" s="1"/>
  <c r="E15" i="7"/>
  <c r="E63" i="7" s="1"/>
  <c r="D15" i="7"/>
  <c r="D63" i="7" s="1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Q12" i="7"/>
  <c r="Q11" i="7"/>
  <c r="P9" i="7"/>
  <c r="P10" i="7" s="1"/>
  <c r="O9" i="7"/>
  <c r="O10" i="7" s="1"/>
  <c r="N9" i="7"/>
  <c r="N10" i="7" s="1"/>
  <c r="M9" i="7"/>
  <c r="M10" i="7" s="1"/>
  <c r="L9" i="7"/>
  <c r="L10" i="7" s="1"/>
  <c r="K9" i="7"/>
  <c r="K10" i="7" s="1"/>
  <c r="J9" i="7"/>
  <c r="J10" i="7" s="1"/>
  <c r="I9" i="7"/>
  <c r="I10" i="7" s="1"/>
  <c r="H9" i="7"/>
  <c r="H10" i="7" s="1"/>
  <c r="G9" i="7"/>
  <c r="G10" i="7" s="1"/>
  <c r="F9" i="7"/>
  <c r="F10" i="7" s="1"/>
  <c r="E9" i="7"/>
  <c r="E10" i="7" s="1"/>
  <c r="D9" i="7"/>
  <c r="D10" i="7" s="1"/>
  <c r="Q8" i="7"/>
  <c r="P7" i="7"/>
  <c r="O7" i="7"/>
  <c r="N7" i="7"/>
  <c r="M7" i="7"/>
  <c r="L7" i="7"/>
  <c r="K7" i="7"/>
  <c r="J7" i="7"/>
  <c r="I7" i="7"/>
  <c r="H7" i="7"/>
  <c r="G7" i="7"/>
  <c r="F7" i="7"/>
  <c r="E7" i="7"/>
  <c r="D7" i="7"/>
  <c r="Q6" i="7"/>
  <c r="Q5" i="7"/>
  <c r="Q133" i="5"/>
  <c r="Q27" i="5"/>
  <c r="L31" i="5"/>
  <c r="L33" i="5" s="1"/>
  <c r="O31" i="5"/>
  <c r="N31" i="5"/>
  <c r="N33" i="5" s="1"/>
  <c r="M31" i="5"/>
  <c r="M33" i="5" s="1"/>
  <c r="K31" i="5"/>
  <c r="I31" i="5"/>
  <c r="G31" i="5"/>
  <c r="D31" i="5"/>
  <c r="D33" i="5" s="1"/>
  <c r="E61" i="5"/>
  <c r="F61" i="5"/>
  <c r="G61" i="5"/>
  <c r="H61" i="5"/>
  <c r="I61" i="5"/>
  <c r="J61" i="5"/>
  <c r="K61" i="5"/>
  <c r="L61" i="5"/>
  <c r="M61" i="5"/>
  <c r="N61" i="5"/>
  <c r="O61" i="5"/>
  <c r="P61" i="5"/>
  <c r="D61" i="5"/>
  <c r="Q23" i="5"/>
  <c r="Q127" i="5"/>
  <c r="Q128" i="5" s="1"/>
  <c r="Q122" i="5"/>
  <c r="Q120" i="5"/>
  <c r="C120" i="5"/>
  <c r="Q113" i="5"/>
  <c r="Q111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Q108" i="5"/>
  <c r="Q109" i="5" s="1"/>
  <c r="P107" i="5"/>
  <c r="O107" i="5"/>
  <c r="N107" i="5"/>
  <c r="M107" i="5"/>
  <c r="K107" i="5"/>
  <c r="J107" i="5"/>
  <c r="H107" i="5"/>
  <c r="F107" i="5"/>
  <c r="E107" i="5"/>
  <c r="D107" i="5"/>
  <c r="P106" i="5"/>
  <c r="O106" i="5"/>
  <c r="N106" i="5"/>
  <c r="M106" i="5"/>
  <c r="L106" i="5"/>
  <c r="K106" i="5"/>
  <c r="J106" i="5"/>
  <c r="I106" i="5"/>
  <c r="H106" i="5"/>
  <c r="F106" i="5"/>
  <c r="E106" i="5"/>
  <c r="D106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Q103" i="5"/>
  <c r="Q104" i="5" s="1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Q100" i="5"/>
  <c r="Q101" i="5" s="1"/>
  <c r="Q98" i="5"/>
  <c r="Q95" i="5"/>
  <c r="Q88" i="5"/>
  <c r="Q73" i="5"/>
  <c r="Q65" i="5"/>
  <c r="Q131" i="5" s="1"/>
  <c r="P55" i="5"/>
  <c r="P56" i="5" s="1"/>
  <c r="O55" i="5"/>
  <c r="O56" i="5" s="1"/>
  <c r="N55" i="5"/>
  <c r="M55" i="5"/>
  <c r="L55" i="5"/>
  <c r="L56" i="5" s="1"/>
  <c r="K55" i="5"/>
  <c r="K56" i="5" s="1"/>
  <c r="J55" i="5"/>
  <c r="J56" i="5" s="1"/>
  <c r="I55" i="5"/>
  <c r="H55" i="5"/>
  <c r="H56" i="5" s="1"/>
  <c r="G55" i="5"/>
  <c r="G56" i="5" s="1"/>
  <c r="F55" i="5"/>
  <c r="E55" i="5"/>
  <c r="D55" i="5"/>
  <c r="D56" i="5" s="1"/>
  <c r="Q54" i="5"/>
  <c r="P50" i="5"/>
  <c r="O50" i="5"/>
  <c r="N50" i="5"/>
  <c r="M50" i="5"/>
  <c r="K50" i="5"/>
  <c r="J50" i="5"/>
  <c r="I50" i="5"/>
  <c r="H50" i="5"/>
  <c r="G50" i="5"/>
  <c r="F50" i="5"/>
  <c r="E50" i="5"/>
  <c r="D50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P99" i="5" s="1"/>
  <c r="O48" i="5"/>
  <c r="O110" i="5" s="1"/>
  <c r="N48" i="5"/>
  <c r="N99" i="5" s="1"/>
  <c r="M48" i="5"/>
  <c r="M110" i="5" s="1"/>
  <c r="L48" i="5"/>
  <c r="L99" i="5" s="1"/>
  <c r="K48" i="5"/>
  <c r="K110" i="5" s="1"/>
  <c r="J48" i="5"/>
  <c r="J99" i="5" s="1"/>
  <c r="I48" i="5"/>
  <c r="I110" i="5" s="1"/>
  <c r="H48" i="5"/>
  <c r="H99" i="5" s="1"/>
  <c r="G48" i="5"/>
  <c r="G110" i="5" s="1"/>
  <c r="F48" i="5"/>
  <c r="F99" i="5" s="1"/>
  <c r="E48" i="5"/>
  <c r="E110" i="5" s="1"/>
  <c r="D48" i="5"/>
  <c r="D99" i="5" s="1"/>
  <c r="Q47" i="5"/>
  <c r="Q50" i="5" s="1"/>
  <c r="Q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Q44" i="5"/>
  <c r="Q45" i="5" s="1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Q39" i="5"/>
  <c r="Q42" i="5" s="1"/>
  <c r="Q38" i="5"/>
  <c r="Q41" i="5" s="1"/>
  <c r="P33" i="5"/>
  <c r="J33" i="5"/>
  <c r="H33" i="5"/>
  <c r="F33" i="5"/>
  <c r="E33" i="5"/>
  <c r="Q32" i="5"/>
  <c r="O33" i="5"/>
  <c r="K33" i="5"/>
  <c r="I33" i="5"/>
  <c r="G33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Q29" i="5"/>
  <c r="Q28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Q25" i="5"/>
  <c r="Q24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Q21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Q16" i="5"/>
  <c r="P15" i="5"/>
  <c r="P17" i="5" s="1"/>
  <c r="P66" i="5" s="1"/>
  <c r="O15" i="5"/>
  <c r="O63" i="5" s="1"/>
  <c r="N15" i="5"/>
  <c r="N17" i="5" s="1"/>
  <c r="N66" i="5" s="1"/>
  <c r="M15" i="5"/>
  <c r="M63" i="5" s="1"/>
  <c r="L15" i="5"/>
  <c r="L17" i="5" s="1"/>
  <c r="L66" i="5" s="1"/>
  <c r="K15" i="5"/>
  <c r="K63" i="5" s="1"/>
  <c r="J15" i="5"/>
  <c r="J17" i="5" s="1"/>
  <c r="J66" i="5" s="1"/>
  <c r="I15" i="5"/>
  <c r="I63" i="5" s="1"/>
  <c r="H15" i="5"/>
  <c r="H17" i="5" s="1"/>
  <c r="H66" i="5" s="1"/>
  <c r="G15" i="5"/>
  <c r="G63" i="5" s="1"/>
  <c r="F15" i="5"/>
  <c r="F17" i="5" s="1"/>
  <c r="F66" i="5" s="1"/>
  <c r="E15" i="5"/>
  <c r="E63" i="5" s="1"/>
  <c r="D15" i="5"/>
  <c r="D17" i="5" s="1"/>
  <c r="D66" i="5" s="1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Q12" i="5"/>
  <c r="Q11" i="5"/>
  <c r="P9" i="5"/>
  <c r="P10" i="5" s="1"/>
  <c r="O9" i="5"/>
  <c r="O10" i="5" s="1"/>
  <c r="N9" i="5"/>
  <c r="N10" i="5" s="1"/>
  <c r="M9" i="5"/>
  <c r="M10" i="5" s="1"/>
  <c r="L9" i="5"/>
  <c r="L10" i="5" s="1"/>
  <c r="K9" i="5"/>
  <c r="K10" i="5" s="1"/>
  <c r="J9" i="5"/>
  <c r="J10" i="5" s="1"/>
  <c r="I9" i="5"/>
  <c r="I10" i="5" s="1"/>
  <c r="H9" i="5"/>
  <c r="H10" i="5" s="1"/>
  <c r="G9" i="5"/>
  <c r="G10" i="5" s="1"/>
  <c r="F9" i="5"/>
  <c r="F10" i="5" s="1"/>
  <c r="E9" i="5"/>
  <c r="E10" i="5" s="1"/>
  <c r="D9" i="5"/>
  <c r="Q8" i="5"/>
  <c r="P7" i="5"/>
  <c r="O7" i="5"/>
  <c r="N7" i="5"/>
  <c r="M7" i="5"/>
  <c r="L7" i="5"/>
  <c r="K7" i="5"/>
  <c r="J7" i="5"/>
  <c r="I7" i="5"/>
  <c r="H7" i="5"/>
  <c r="G7" i="5"/>
  <c r="F7" i="5"/>
  <c r="E7" i="5"/>
  <c r="D7" i="5"/>
  <c r="Q6" i="5"/>
  <c r="Q5" i="5"/>
  <c r="Q133" i="3"/>
  <c r="Q132" i="7" l="1"/>
  <c r="M17" i="5"/>
  <c r="M66" i="5" s="1"/>
  <c r="Q132" i="5"/>
  <c r="Q134" i="5"/>
  <c r="N34" i="7"/>
  <c r="N137" i="7" s="1"/>
  <c r="Q136" i="9"/>
  <c r="Q61" i="9"/>
  <c r="P34" i="7"/>
  <c r="P137" i="7" s="1"/>
  <c r="Q128" i="7"/>
  <c r="Q134" i="7"/>
  <c r="F43" i="7"/>
  <c r="J43" i="7"/>
  <c r="N43" i="7"/>
  <c r="G51" i="7"/>
  <c r="G64" i="7" s="1"/>
  <c r="Q19" i="7"/>
  <c r="K63" i="7"/>
  <c r="E17" i="7"/>
  <c r="E66" i="7" s="1"/>
  <c r="Q13" i="7"/>
  <c r="M17" i="7"/>
  <c r="M66" i="7" s="1"/>
  <c r="O51" i="7"/>
  <c r="O64" i="7" s="1"/>
  <c r="K51" i="7"/>
  <c r="K64" i="7" s="1"/>
  <c r="Q48" i="7"/>
  <c r="Q89" i="7" s="1"/>
  <c r="E110" i="7"/>
  <c r="F20" i="7"/>
  <c r="J20" i="7"/>
  <c r="N20" i="7"/>
  <c r="Q22" i="7"/>
  <c r="G63" i="7"/>
  <c r="Q14" i="7"/>
  <c r="E34" i="7"/>
  <c r="E58" i="7" s="1"/>
  <c r="E60" i="7" s="1"/>
  <c r="M34" i="7"/>
  <c r="G43" i="7"/>
  <c r="K43" i="7"/>
  <c r="O43" i="7"/>
  <c r="D51" i="7"/>
  <c r="D64" i="7" s="1"/>
  <c r="H51" i="7"/>
  <c r="H64" i="7" s="1"/>
  <c r="P51" i="7"/>
  <c r="P64" i="7" s="1"/>
  <c r="O63" i="7"/>
  <c r="F51" i="7"/>
  <c r="F64" i="7" s="1"/>
  <c r="J51" i="7"/>
  <c r="J64" i="7" s="1"/>
  <c r="N51" i="7"/>
  <c r="N64" i="7" s="1"/>
  <c r="E51" i="7"/>
  <c r="E64" i="7" s="1"/>
  <c r="I51" i="7"/>
  <c r="I64" i="7" s="1"/>
  <c r="M51" i="7"/>
  <c r="M64" i="7" s="1"/>
  <c r="M110" i="7"/>
  <c r="K110" i="7"/>
  <c r="I110" i="7"/>
  <c r="G110" i="7"/>
  <c r="O110" i="7"/>
  <c r="E43" i="7"/>
  <c r="M43" i="7"/>
  <c r="D43" i="7"/>
  <c r="H43" i="7"/>
  <c r="L43" i="7"/>
  <c r="P43" i="7"/>
  <c r="I43" i="7"/>
  <c r="Q40" i="7"/>
  <c r="Q43" i="7" s="1"/>
  <c r="J34" i="7"/>
  <c r="Q30" i="7"/>
  <c r="G34" i="7"/>
  <c r="K34" i="7"/>
  <c r="O34" i="7"/>
  <c r="I34" i="7"/>
  <c r="Q26" i="7"/>
  <c r="E20" i="7"/>
  <c r="I20" i="7"/>
  <c r="M20" i="7"/>
  <c r="O57" i="7"/>
  <c r="I17" i="7"/>
  <c r="I66" i="7" s="1"/>
  <c r="D20" i="7"/>
  <c r="H20" i="7"/>
  <c r="L20" i="7"/>
  <c r="P20" i="7"/>
  <c r="Q9" i="7"/>
  <c r="Q10" i="7" s="1"/>
  <c r="G20" i="7"/>
  <c r="K20" i="7"/>
  <c r="O20" i="7"/>
  <c r="L51" i="7"/>
  <c r="L64" i="7" s="1"/>
  <c r="Q7" i="7"/>
  <c r="F58" i="7"/>
  <c r="F60" i="7" s="1"/>
  <c r="F52" i="7"/>
  <c r="F53" i="7" s="1"/>
  <c r="F35" i="7"/>
  <c r="H35" i="7"/>
  <c r="H58" i="7"/>
  <c r="H60" i="7" s="1"/>
  <c r="H52" i="7"/>
  <c r="H53" i="7" s="1"/>
  <c r="D34" i="7"/>
  <c r="D137" i="7" s="1"/>
  <c r="L34" i="7"/>
  <c r="L137" i="7" s="1"/>
  <c r="Q18" i="7"/>
  <c r="E56" i="7"/>
  <c r="I56" i="7"/>
  <c r="M56" i="7"/>
  <c r="G57" i="7"/>
  <c r="K57" i="7"/>
  <c r="D99" i="7"/>
  <c r="H99" i="7"/>
  <c r="L99" i="7"/>
  <c r="P99" i="7"/>
  <c r="Q106" i="7"/>
  <c r="Q15" i="7"/>
  <c r="F17" i="7"/>
  <c r="F66" i="7" s="1"/>
  <c r="J17" i="7"/>
  <c r="J66" i="7" s="1"/>
  <c r="N17" i="7"/>
  <c r="N66" i="7" s="1"/>
  <c r="Q31" i="7"/>
  <c r="Q33" i="7" s="1"/>
  <c r="Q96" i="7" s="1"/>
  <c r="D56" i="7"/>
  <c r="H56" i="7"/>
  <c r="L56" i="7"/>
  <c r="P56" i="7"/>
  <c r="Q107" i="7"/>
  <c r="D110" i="7"/>
  <c r="Q55" i="7"/>
  <c r="F99" i="7"/>
  <c r="J99" i="7"/>
  <c r="N99" i="7"/>
  <c r="D17" i="7"/>
  <c r="D66" i="7" s="1"/>
  <c r="H17" i="7"/>
  <c r="H66" i="7" s="1"/>
  <c r="L17" i="7"/>
  <c r="L66" i="7" s="1"/>
  <c r="P17" i="7"/>
  <c r="P66" i="7" s="1"/>
  <c r="L43" i="5"/>
  <c r="E51" i="5"/>
  <c r="E64" i="5" s="1"/>
  <c r="I51" i="5"/>
  <c r="I64" i="5" s="1"/>
  <c r="M51" i="5"/>
  <c r="M64" i="5" s="1"/>
  <c r="Q106" i="5"/>
  <c r="P43" i="5"/>
  <c r="H43" i="5"/>
  <c r="D43" i="5"/>
  <c r="I34" i="5"/>
  <c r="H34" i="5"/>
  <c r="H35" i="5" s="1"/>
  <c r="H36" i="5" s="1"/>
  <c r="H152" i="5" s="1"/>
  <c r="E34" i="5"/>
  <c r="E17" i="5"/>
  <c r="E66" i="5" s="1"/>
  <c r="P34" i="5"/>
  <c r="P58" i="5" s="1"/>
  <c r="P60" i="5" s="1"/>
  <c r="Q19" i="5"/>
  <c r="G34" i="5"/>
  <c r="P110" i="5"/>
  <c r="Q9" i="5"/>
  <c r="Q10" i="5" s="1"/>
  <c r="I17" i="5"/>
  <c r="I66" i="5" s="1"/>
  <c r="M34" i="5"/>
  <c r="G43" i="5"/>
  <c r="K43" i="5"/>
  <c r="O43" i="5"/>
  <c r="D51" i="5"/>
  <c r="D64" i="5" s="1"/>
  <c r="H51" i="5"/>
  <c r="H64" i="5" s="1"/>
  <c r="L51" i="5"/>
  <c r="L64" i="5" s="1"/>
  <c r="P51" i="5"/>
  <c r="P64" i="5" s="1"/>
  <c r="N63" i="5"/>
  <c r="Q55" i="5"/>
  <c r="Q56" i="5" s="1"/>
  <c r="G51" i="5"/>
  <c r="G64" i="5" s="1"/>
  <c r="K51" i="5"/>
  <c r="K64" i="5" s="1"/>
  <c r="O51" i="5"/>
  <c r="O64" i="5" s="1"/>
  <c r="L110" i="5"/>
  <c r="F51" i="5"/>
  <c r="F64" i="5" s="1"/>
  <c r="J51" i="5"/>
  <c r="J64" i="5" s="1"/>
  <c r="N51" i="5"/>
  <c r="N64" i="5" s="1"/>
  <c r="H110" i="5"/>
  <c r="D110" i="5"/>
  <c r="F110" i="5"/>
  <c r="N110" i="5"/>
  <c r="Q49" i="5"/>
  <c r="J110" i="5"/>
  <c r="F43" i="5"/>
  <c r="J43" i="5"/>
  <c r="N43" i="5"/>
  <c r="E43" i="5"/>
  <c r="I43" i="5"/>
  <c r="M43" i="5"/>
  <c r="Q40" i="5"/>
  <c r="Q43" i="5" s="1"/>
  <c r="L34" i="5"/>
  <c r="Q30" i="5"/>
  <c r="J34" i="5"/>
  <c r="F34" i="5"/>
  <c r="N34" i="5"/>
  <c r="Q26" i="5"/>
  <c r="G20" i="5"/>
  <c r="K20" i="5"/>
  <c r="O20" i="5"/>
  <c r="Q13" i="5"/>
  <c r="O17" i="5"/>
  <c r="O66" i="5" s="1"/>
  <c r="F63" i="5"/>
  <c r="K17" i="5"/>
  <c r="K66" i="5" s="1"/>
  <c r="M57" i="5"/>
  <c r="G17" i="5"/>
  <c r="G66" i="5" s="1"/>
  <c r="J63" i="5"/>
  <c r="Q14" i="5"/>
  <c r="Q22" i="5"/>
  <c r="F20" i="5"/>
  <c r="J20" i="5"/>
  <c r="N20" i="5"/>
  <c r="E20" i="5"/>
  <c r="I20" i="5"/>
  <c r="M20" i="5"/>
  <c r="D10" i="5"/>
  <c r="D20" i="5"/>
  <c r="H20" i="5"/>
  <c r="L20" i="5"/>
  <c r="P20" i="5"/>
  <c r="Q7" i="5"/>
  <c r="H52" i="5"/>
  <c r="H53" i="5" s="1"/>
  <c r="H57" i="5"/>
  <c r="L57" i="5"/>
  <c r="P57" i="5"/>
  <c r="D34" i="5"/>
  <c r="D136" i="5" s="1"/>
  <c r="F57" i="5"/>
  <c r="N57" i="5"/>
  <c r="K34" i="5"/>
  <c r="K136" i="5" s="1"/>
  <c r="O34" i="5"/>
  <c r="O136" i="5" s="1"/>
  <c r="Q31" i="5"/>
  <c r="Q33" i="5" s="1"/>
  <c r="Q96" i="5" s="1"/>
  <c r="J57" i="5"/>
  <c r="G99" i="5"/>
  <c r="O99" i="5"/>
  <c r="Q107" i="5"/>
  <c r="Q18" i="5"/>
  <c r="Q48" i="5"/>
  <c r="F56" i="5"/>
  <c r="N56" i="5"/>
  <c r="D57" i="5"/>
  <c r="D63" i="5"/>
  <c r="H63" i="5"/>
  <c r="L63" i="5"/>
  <c r="P63" i="5"/>
  <c r="E99" i="5"/>
  <c r="I99" i="5"/>
  <c r="M99" i="5"/>
  <c r="Q15" i="5"/>
  <c r="E56" i="5"/>
  <c r="I56" i="5"/>
  <c r="M56" i="5"/>
  <c r="K99" i="5"/>
  <c r="P107" i="3"/>
  <c r="N31" i="3"/>
  <c r="O31" i="3"/>
  <c r="M31" i="3"/>
  <c r="L31" i="3"/>
  <c r="K31" i="3"/>
  <c r="I31" i="3"/>
  <c r="G31" i="3"/>
  <c r="F31" i="3"/>
  <c r="D31" i="3"/>
  <c r="E61" i="3"/>
  <c r="F61" i="3"/>
  <c r="G61" i="3"/>
  <c r="H61" i="3"/>
  <c r="I61" i="3"/>
  <c r="J61" i="3"/>
  <c r="K61" i="3"/>
  <c r="L61" i="3"/>
  <c r="M61" i="3"/>
  <c r="N61" i="3"/>
  <c r="O61" i="3"/>
  <c r="P61" i="3"/>
  <c r="D61" i="3"/>
  <c r="P58" i="7" l="1"/>
  <c r="P60" i="7" s="1"/>
  <c r="F57" i="7"/>
  <c r="P52" i="7"/>
  <c r="P53" i="7" s="1"/>
  <c r="J58" i="7"/>
  <c r="J60" i="7" s="1"/>
  <c r="J137" i="7"/>
  <c r="M52" i="5"/>
  <c r="M53" i="5" s="1"/>
  <c r="M136" i="5"/>
  <c r="M35" i="7"/>
  <c r="M36" i="7" s="1"/>
  <c r="M152" i="7" s="1"/>
  <c r="M137" i="7"/>
  <c r="E35" i="7"/>
  <c r="E36" i="7" s="1"/>
  <c r="E152" i="7" s="1"/>
  <c r="E137" i="7"/>
  <c r="N52" i="5"/>
  <c r="N53" i="5" s="1"/>
  <c r="N136" i="5"/>
  <c r="E58" i="5"/>
  <c r="E60" i="5" s="1"/>
  <c r="E136" i="5"/>
  <c r="P35" i="7"/>
  <c r="P36" i="7" s="1"/>
  <c r="P152" i="7" s="1"/>
  <c r="F58" i="5"/>
  <c r="F60" i="5" s="1"/>
  <c r="F136" i="5"/>
  <c r="H58" i="5"/>
  <c r="H60" i="5" s="1"/>
  <c r="H136" i="5"/>
  <c r="J58" i="5"/>
  <c r="J60" i="5" s="1"/>
  <c r="J136" i="5"/>
  <c r="G52" i="5"/>
  <c r="G53" i="5" s="1"/>
  <c r="G136" i="5"/>
  <c r="I35" i="5"/>
  <c r="I36" i="5" s="1"/>
  <c r="I152" i="5" s="1"/>
  <c r="I136" i="5"/>
  <c r="I58" i="7"/>
  <c r="I60" i="7" s="1"/>
  <c r="I137" i="7"/>
  <c r="O52" i="7"/>
  <c r="O53" i="7" s="1"/>
  <c r="O137" i="7"/>
  <c r="L58" i="5"/>
  <c r="L60" i="5" s="1"/>
  <c r="L136" i="5"/>
  <c r="P35" i="5"/>
  <c r="P36" i="5" s="1"/>
  <c r="P152" i="5" s="1"/>
  <c r="P136" i="5"/>
  <c r="N35" i="7"/>
  <c r="N36" i="7" s="1"/>
  <c r="N152" i="7" s="1"/>
  <c r="K58" i="7"/>
  <c r="K60" i="7" s="1"/>
  <c r="K137" i="7"/>
  <c r="N52" i="7"/>
  <c r="N53" i="7" s="1"/>
  <c r="G52" i="7"/>
  <c r="G53" i="7" s="1"/>
  <c r="G137" i="7"/>
  <c r="N58" i="7"/>
  <c r="N60" i="7" s="1"/>
  <c r="G35" i="7"/>
  <c r="G36" i="7" s="1"/>
  <c r="G152" i="7" s="1"/>
  <c r="N57" i="7"/>
  <c r="J57" i="7"/>
  <c r="I57" i="7"/>
  <c r="E57" i="7"/>
  <c r="M57" i="7"/>
  <c r="Q51" i="7"/>
  <c r="Q64" i="7" s="1"/>
  <c r="Q110" i="7"/>
  <c r="Q99" i="7"/>
  <c r="M58" i="7"/>
  <c r="M60" i="7" s="1"/>
  <c r="E52" i="7"/>
  <c r="E53" i="7" s="1"/>
  <c r="M52" i="7"/>
  <c r="M53" i="7" s="1"/>
  <c r="J52" i="7"/>
  <c r="J53" i="7" s="1"/>
  <c r="J35" i="7"/>
  <c r="J36" i="7" s="1"/>
  <c r="J152" i="7" s="1"/>
  <c r="I52" i="7"/>
  <c r="I53" i="7" s="1"/>
  <c r="K52" i="7"/>
  <c r="K53" i="7" s="1"/>
  <c r="K35" i="7"/>
  <c r="K36" i="7" s="1"/>
  <c r="K152" i="7" s="1"/>
  <c r="Q34" i="7"/>
  <c r="Q129" i="7" s="1"/>
  <c r="O35" i="7"/>
  <c r="O36" i="7" s="1"/>
  <c r="O152" i="7" s="1"/>
  <c r="O58" i="7"/>
  <c r="O60" i="7" s="1"/>
  <c r="G58" i="7"/>
  <c r="G60" i="7" s="1"/>
  <c r="I35" i="7"/>
  <c r="I36" i="7" s="1"/>
  <c r="I152" i="7" s="1"/>
  <c r="H57" i="7"/>
  <c r="Q20" i="7"/>
  <c r="D35" i="7"/>
  <c r="D36" i="7" s="1"/>
  <c r="D152" i="7" s="1"/>
  <c r="D58" i="7"/>
  <c r="D60" i="7" s="1"/>
  <c r="D52" i="7"/>
  <c r="D53" i="7" s="1"/>
  <c r="L35" i="7"/>
  <c r="L36" i="7" s="1"/>
  <c r="L152" i="7" s="1"/>
  <c r="L58" i="7"/>
  <c r="L60" i="7" s="1"/>
  <c r="L52" i="7"/>
  <c r="L53" i="7" s="1"/>
  <c r="Q56" i="7"/>
  <c r="Q63" i="7"/>
  <c r="Q17" i="7"/>
  <c r="Q66" i="7" s="1"/>
  <c r="L57" i="7"/>
  <c r="P57" i="7"/>
  <c r="D57" i="7"/>
  <c r="H36" i="7"/>
  <c r="H152" i="7" s="1"/>
  <c r="F36" i="7"/>
  <c r="F152" i="7" s="1"/>
  <c r="P52" i="5"/>
  <c r="P53" i="5" s="1"/>
  <c r="E52" i="5"/>
  <c r="E53" i="5" s="1"/>
  <c r="I52" i="5"/>
  <c r="I53" i="5" s="1"/>
  <c r="I58" i="5"/>
  <c r="I60" i="5" s="1"/>
  <c r="G57" i="5"/>
  <c r="K57" i="5"/>
  <c r="I57" i="5"/>
  <c r="E35" i="5"/>
  <c r="E36" i="5" s="1"/>
  <c r="E152" i="5" s="1"/>
  <c r="L35" i="5"/>
  <c r="L36" i="5" s="1"/>
  <c r="L152" i="5" s="1"/>
  <c r="N58" i="5"/>
  <c r="N60" i="5" s="1"/>
  <c r="M35" i="5"/>
  <c r="M36" i="5" s="1"/>
  <c r="M152" i="5" s="1"/>
  <c r="L52" i="5"/>
  <c r="L53" i="5" s="1"/>
  <c r="G58" i="5"/>
  <c r="G60" i="5" s="1"/>
  <c r="Q34" i="5"/>
  <c r="Q58" i="5" s="1"/>
  <c r="Q60" i="5" s="1"/>
  <c r="G35" i="5"/>
  <c r="G36" i="5" s="1"/>
  <c r="G152" i="5" s="1"/>
  <c r="M58" i="5"/>
  <c r="M60" i="5" s="1"/>
  <c r="E57" i="5"/>
  <c r="J52" i="5"/>
  <c r="J53" i="5" s="1"/>
  <c r="F52" i="5"/>
  <c r="F53" i="5" s="1"/>
  <c r="J35" i="5"/>
  <c r="J36" i="5" s="1"/>
  <c r="J152" i="5" s="1"/>
  <c r="F35" i="5"/>
  <c r="F36" i="5" s="1"/>
  <c r="F152" i="5" s="1"/>
  <c r="N35" i="5"/>
  <c r="N36" i="5" s="1"/>
  <c r="N152" i="5" s="1"/>
  <c r="O57" i="5"/>
  <c r="Q20" i="5"/>
  <c r="Q63" i="5"/>
  <c r="Q17" i="5"/>
  <c r="Q110" i="5"/>
  <c r="Q51" i="5"/>
  <c r="Q64" i="5" s="1"/>
  <c r="K58" i="5"/>
  <c r="K60" i="5" s="1"/>
  <c r="K52" i="5"/>
  <c r="K53" i="5" s="1"/>
  <c r="K35" i="5"/>
  <c r="K36" i="5" s="1"/>
  <c r="K152" i="5" s="1"/>
  <c r="O58" i="5"/>
  <c r="O60" i="5" s="1"/>
  <c r="O35" i="5"/>
  <c r="O36" i="5" s="1"/>
  <c r="O152" i="5" s="1"/>
  <c r="O52" i="5"/>
  <c r="O53" i="5" s="1"/>
  <c r="D52" i="5"/>
  <c r="D53" i="5" s="1"/>
  <c r="D35" i="5"/>
  <c r="D36" i="5" s="1"/>
  <c r="D152" i="5" s="1"/>
  <c r="D58" i="5"/>
  <c r="D60" i="5" s="1"/>
  <c r="Q89" i="5"/>
  <c r="Q99" i="5"/>
  <c r="Q27" i="3"/>
  <c r="Q61" i="7" l="1"/>
  <c r="Q137" i="7"/>
  <c r="Q35" i="7"/>
  <c r="Q36" i="7" s="1"/>
  <c r="Q152" i="7" s="1"/>
  <c r="Q72" i="7"/>
  <c r="Q58" i="7"/>
  <c r="Q60" i="7" s="1"/>
  <c r="Q52" i="7"/>
  <c r="Q53" i="7" s="1"/>
  <c r="Q82" i="7"/>
  <c r="Q57" i="7"/>
  <c r="Q35" i="5"/>
  <c r="Q36" i="5" s="1"/>
  <c r="Q152" i="5" s="1"/>
  <c r="Q72" i="5"/>
  <c r="Q82" i="5"/>
  <c r="Q52" i="5"/>
  <c r="Q53" i="5" s="1"/>
  <c r="Q129" i="5"/>
  <c r="Q66" i="5"/>
  <c r="Q57" i="5"/>
  <c r="Q127" i="3"/>
  <c r="Q134" i="3" s="1"/>
  <c r="Q122" i="3"/>
  <c r="Q120" i="3"/>
  <c r="C120" i="3"/>
  <c r="Q113" i="3"/>
  <c r="Q111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Q108" i="3"/>
  <c r="Q109" i="3" s="1"/>
  <c r="O107" i="3"/>
  <c r="N107" i="3"/>
  <c r="M107" i="3"/>
  <c r="K107" i="3"/>
  <c r="J107" i="3"/>
  <c r="H107" i="3"/>
  <c r="F107" i="3"/>
  <c r="E107" i="3"/>
  <c r="D107" i="3"/>
  <c r="P106" i="3"/>
  <c r="O106" i="3"/>
  <c r="N106" i="3"/>
  <c r="M106" i="3"/>
  <c r="L106" i="3"/>
  <c r="K106" i="3"/>
  <c r="J106" i="3"/>
  <c r="I106" i="3"/>
  <c r="H106" i="3"/>
  <c r="F106" i="3"/>
  <c r="E106" i="3"/>
  <c r="D106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Q103" i="3"/>
  <c r="Q104" i="3" s="1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Q100" i="3"/>
  <c r="Q101" i="3" s="1"/>
  <c r="Q98" i="3"/>
  <c r="Q95" i="3"/>
  <c r="Q88" i="3"/>
  <c r="Q73" i="3"/>
  <c r="Q65" i="3"/>
  <c r="Q131" i="3" s="1"/>
  <c r="P55" i="3"/>
  <c r="P56" i="3" s="1"/>
  <c r="O55" i="3"/>
  <c r="O56" i="3" s="1"/>
  <c r="N55" i="3"/>
  <c r="M55" i="3"/>
  <c r="M56" i="3" s="1"/>
  <c r="L55" i="3"/>
  <c r="L56" i="3" s="1"/>
  <c r="K55" i="3"/>
  <c r="K56" i="3" s="1"/>
  <c r="J55" i="3"/>
  <c r="J56" i="3" s="1"/>
  <c r="I55" i="3"/>
  <c r="I56" i="3" s="1"/>
  <c r="H55" i="3"/>
  <c r="H56" i="3" s="1"/>
  <c r="G55" i="3"/>
  <c r="G56" i="3" s="1"/>
  <c r="F55" i="3"/>
  <c r="E55" i="3"/>
  <c r="E56" i="3" s="1"/>
  <c r="D55" i="3"/>
  <c r="D56" i="3" s="1"/>
  <c r="Q54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P48" i="3"/>
  <c r="O48" i="3"/>
  <c r="O110" i="3" s="1"/>
  <c r="N48" i="3"/>
  <c r="N110" i="3" s="1"/>
  <c r="M48" i="3"/>
  <c r="M99" i="3" s="1"/>
  <c r="L48" i="3"/>
  <c r="L99" i="3" s="1"/>
  <c r="K48" i="3"/>
  <c r="K99" i="3" s="1"/>
  <c r="J48" i="3"/>
  <c r="J110" i="3" s="1"/>
  <c r="I48" i="3"/>
  <c r="I99" i="3" s="1"/>
  <c r="H48" i="3"/>
  <c r="H99" i="3" s="1"/>
  <c r="G48" i="3"/>
  <c r="G110" i="3" s="1"/>
  <c r="F48" i="3"/>
  <c r="F110" i="3" s="1"/>
  <c r="E48" i="3"/>
  <c r="E99" i="3" s="1"/>
  <c r="D48" i="3"/>
  <c r="D99" i="3" s="1"/>
  <c r="Q47" i="3"/>
  <c r="Q50" i="3" s="1"/>
  <c r="Q46" i="3"/>
  <c r="Q49" i="3" s="1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Q44" i="3"/>
  <c r="Q45" i="3" s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P41" i="3"/>
  <c r="O41" i="3"/>
  <c r="N41" i="3"/>
  <c r="M41" i="3"/>
  <c r="L41" i="3"/>
  <c r="L43" i="3" s="1"/>
  <c r="K41" i="3"/>
  <c r="J41" i="3"/>
  <c r="I41" i="3"/>
  <c r="H41" i="3"/>
  <c r="G41" i="3"/>
  <c r="F41" i="3"/>
  <c r="E41" i="3"/>
  <c r="D41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Q39" i="3"/>
  <c r="Q42" i="3" s="1"/>
  <c r="Q38" i="3"/>
  <c r="Q41" i="3" s="1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Q32" i="3"/>
  <c r="Q31" i="3"/>
  <c r="P30" i="3"/>
  <c r="O30" i="3"/>
  <c r="N30" i="3"/>
  <c r="M30" i="3"/>
  <c r="L30" i="3"/>
  <c r="K30" i="3"/>
  <c r="K34" i="3" s="1"/>
  <c r="J30" i="3"/>
  <c r="I30" i="3"/>
  <c r="H30" i="3"/>
  <c r="G30" i="3"/>
  <c r="F30" i="3"/>
  <c r="F34" i="3" s="1"/>
  <c r="E30" i="3"/>
  <c r="D30" i="3"/>
  <c r="Q29" i="3"/>
  <c r="Q28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Q25" i="3"/>
  <c r="Q24" i="3"/>
  <c r="Q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Q21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Q16" i="3"/>
  <c r="P15" i="3"/>
  <c r="P63" i="3" s="1"/>
  <c r="O15" i="3"/>
  <c r="O63" i="3" s="1"/>
  <c r="N15" i="3"/>
  <c r="N17" i="3" s="1"/>
  <c r="N66" i="3" s="1"/>
  <c r="M15" i="3"/>
  <c r="M63" i="3" s="1"/>
  <c r="L15" i="3"/>
  <c r="L17" i="3" s="1"/>
  <c r="L66" i="3" s="1"/>
  <c r="K15" i="3"/>
  <c r="K63" i="3" s="1"/>
  <c r="J15" i="3"/>
  <c r="J63" i="3" s="1"/>
  <c r="I15" i="3"/>
  <c r="I63" i="3" s="1"/>
  <c r="H15" i="3"/>
  <c r="H63" i="3" s="1"/>
  <c r="G15" i="3"/>
  <c r="G63" i="3" s="1"/>
  <c r="F15" i="3"/>
  <c r="F17" i="3" s="1"/>
  <c r="F66" i="3" s="1"/>
  <c r="E15" i="3"/>
  <c r="E63" i="3" s="1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Q12" i="3"/>
  <c r="Q11" i="3"/>
  <c r="G10" i="3"/>
  <c r="P9" i="3"/>
  <c r="P10" i="3" s="1"/>
  <c r="O9" i="3"/>
  <c r="O10" i="3" s="1"/>
  <c r="N9" i="3"/>
  <c r="N10" i="3" s="1"/>
  <c r="M9" i="3"/>
  <c r="M10" i="3" s="1"/>
  <c r="L9" i="3"/>
  <c r="L10" i="3" s="1"/>
  <c r="K9" i="3"/>
  <c r="K10" i="3" s="1"/>
  <c r="J9" i="3"/>
  <c r="J10" i="3" s="1"/>
  <c r="I9" i="3"/>
  <c r="I10" i="3" s="1"/>
  <c r="H9" i="3"/>
  <c r="H10" i="3" s="1"/>
  <c r="G9" i="3"/>
  <c r="F9" i="3"/>
  <c r="F10" i="3" s="1"/>
  <c r="E9" i="3"/>
  <c r="E10" i="3" s="1"/>
  <c r="D9" i="3"/>
  <c r="D10" i="3" s="1"/>
  <c r="Q8" i="3"/>
  <c r="P7" i="3"/>
  <c r="O7" i="3"/>
  <c r="N7" i="3"/>
  <c r="M7" i="3"/>
  <c r="L7" i="3"/>
  <c r="K7" i="3"/>
  <c r="J7" i="3"/>
  <c r="I7" i="3"/>
  <c r="H7" i="3"/>
  <c r="G7" i="3"/>
  <c r="F7" i="3"/>
  <c r="E7" i="3"/>
  <c r="D7" i="3"/>
  <c r="Q6" i="3"/>
  <c r="Q5" i="3"/>
  <c r="R33" i="1"/>
  <c r="R34" i="1" s="1"/>
  <c r="Q132" i="3" l="1"/>
  <c r="Q61" i="5"/>
  <c r="Q136" i="5"/>
  <c r="G34" i="3"/>
  <c r="G43" i="3"/>
  <c r="O43" i="3"/>
  <c r="D51" i="3"/>
  <c r="D64" i="3" s="1"/>
  <c r="H51" i="3"/>
  <c r="H64" i="3" s="1"/>
  <c r="E17" i="3"/>
  <c r="E66" i="3" s="1"/>
  <c r="E34" i="3"/>
  <c r="M34" i="3"/>
  <c r="G51" i="3"/>
  <c r="G64" i="3" s="1"/>
  <c r="K51" i="3"/>
  <c r="K64" i="3" s="1"/>
  <c r="O51" i="3"/>
  <c r="O64" i="3" s="1"/>
  <c r="K43" i="3"/>
  <c r="D34" i="3"/>
  <c r="D35" i="3" s="1"/>
  <c r="H34" i="3"/>
  <c r="L34" i="3"/>
  <c r="P34" i="3"/>
  <c r="P99" i="3"/>
  <c r="P51" i="3"/>
  <c r="P64" i="3" s="1"/>
  <c r="P43" i="3"/>
  <c r="H43" i="3"/>
  <c r="D43" i="3"/>
  <c r="N34" i="3"/>
  <c r="J34" i="3"/>
  <c r="I34" i="3"/>
  <c r="Q30" i="3"/>
  <c r="O34" i="3"/>
  <c r="Q19" i="3"/>
  <c r="M17" i="3"/>
  <c r="M66" i="3" s="1"/>
  <c r="L57" i="3"/>
  <c r="Q13" i="3"/>
  <c r="O20" i="3"/>
  <c r="N20" i="3"/>
  <c r="K20" i="3"/>
  <c r="J20" i="3"/>
  <c r="G20" i="3"/>
  <c r="F20" i="3"/>
  <c r="L51" i="3"/>
  <c r="L64" i="3" s="1"/>
  <c r="K35" i="3"/>
  <c r="K52" i="3"/>
  <c r="K53" i="3" s="1"/>
  <c r="G52" i="3"/>
  <c r="G53" i="3" s="1"/>
  <c r="F63" i="3"/>
  <c r="Q106" i="3"/>
  <c r="E20" i="3"/>
  <c r="M20" i="3"/>
  <c r="Q40" i="3"/>
  <c r="Q43" i="3" s="1"/>
  <c r="M110" i="3"/>
  <c r="Q15" i="3"/>
  <c r="Q63" i="3" s="1"/>
  <c r="I17" i="3"/>
  <c r="I66" i="3" s="1"/>
  <c r="D20" i="3"/>
  <c r="H20" i="3"/>
  <c r="L20" i="3"/>
  <c r="P20" i="3"/>
  <c r="Q26" i="3"/>
  <c r="F43" i="3"/>
  <c r="J43" i="3"/>
  <c r="N43" i="3"/>
  <c r="F51" i="3"/>
  <c r="F64" i="3" s="1"/>
  <c r="J51" i="3"/>
  <c r="J64" i="3" s="1"/>
  <c r="N51" i="3"/>
  <c r="N64" i="3" s="1"/>
  <c r="N63" i="3"/>
  <c r="I110" i="3"/>
  <c r="Q128" i="3"/>
  <c r="J17" i="3"/>
  <c r="J66" i="3" s="1"/>
  <c r="I20" i="3"/>
  <c r="Q7" i="3"/>
  <c r="Q22" i="3"/>
  <c r="E43" i="3"/>
  <c r="I43" i="3"/>
  <c r="M43" i="3"/>
  <c r="E51" i="3"/>
  <c r="E64" i="3" s="1"/>
  <c r="I51" i="3"/>
  <c r="I64" i="3" s="1"/>
  <c r="M51" i="3"/>
  <c r="M64" i="3" s="1"/>
  <c r="F57" i="3"/>
  <c r="N57" i="3"/>
  <c r="E110" i="3"/>
  <c r="M58" i="3"/>
  <c r="M60" i="3" s="1"/>
  <c r="M52" i="3"/>
  <c r="M53" i="3" s="1"/>
  <c r="F35" i="3"/>
  <c r="F36" i="3" s="1"/>
  <c r="F152" i="3" s="1"/>
  <c r="F58" i="3"/>
  <c r="F60" i="3" s="1"/>
  <c r="F52" i="3"/>
  <c r="F53" i="3" s="1"/>
  <c r="J58" i="3"/>
  <c r="J60" i="3" s="1"/>
  <c r="L58" i="3"/>
  <c r="L60" i="3" s="1"/>
  <c r="G99" i="3"/>
  <c r="O99" i="3"/>
  <c r="Q9" i="3"/>
  <c r="Q10" i="3" s="1"/>
  <c r="Q14" i="3"/>
  <c r="H17" i="3"/>
  <c r="H66" i="3" s="1"/>
  <c r="P17" i="3"/>
  <c r="P66" i="3" s="1"/>
  <c r="Q33" i="3"/>
  <c r="Q96" i="3" s="1"/>
  <c r="Q55" i="3"/>
  <c r="I57" i="3"/>
  <c r="K58" i="3"/>
  <c r="K60" i="3" s="1"/>
  <c r="F99" i="3"/>
  <c r="J99" i="3"/>
  <c r="N99" i="3"/>
  <c r="Q107" i="3"/>
  <c r="D110" i="3"/>
  <c r="H110" i="3"/>
  <c r="L110" i="3"/>
  <c r="P110" i="3"/>
  <c r="G17" i="3"/>
  <c r="G66" i="3" s="1"/>
  <c r="K17" i="3"/>
  <c r="K66" i="3" s="1"/>
  <c r="O17" i="3"/>
  <c r="O66" i="3" s="1"/>
  <c r="Q18" i="3"/>
  <c r="H35" i="3"/>
  <c r="L35" i="3"/>
  <c r="L36" i="3" s="1"/>
  <c r="L152" i="3" s="1"/>
  <c r="P35" i="3"/>
  <c r="P36" i="3" s="1"/>
  <c r="P152" i="3" s="1"/>
  <c r="Q48" i="3"/>
  <c r="F56" i="3"/>
  <c r="N56" i="3"/>
  <c r="D63" i="3"/>
  <c r="L63" i="3"/>
  <c r="K110" i="3"/>
  <c r="D17" i="3"/>
  <c r="D66" i="3" s="1"/>
  <c r="Q114" i="1"/>
  <c r="P52" i="3" l="1"/>
  <c r="P53" i="3" s="1"/>
  <c r="L52" i="3"/>
  <c r="L53" i="3" s="1"/>
  <c r="O35" i="3"/>
  <c r="H52" i="3"/>
  <c r="H53" i="3" s="1"/>
  <c r="D52" i="3"/>
  <c r="D53" i="3" s="1"/>
  <c r="G35" i="3"/>
  <c r="G36" i="3" s="1"/>
  <c r="G152" i="3" s="1"/>
  <c r="I35" i="3"/>
  <c r="I36" i="3" s="1"/>
  <c r="I152" i="3" s="1"/>
  <c r="J35" i="3"/>
  <c r="J36" i="3" s="1"/>
  <c r="J152" i="3" s="1"/>
  <c r="E52" i="3"/>
  <c r="E53" i="3" s="1"/>
  <c r="N35" i="3"/>
  <c r="N36" i="3" s="1"/>
  <c r="N152" i="3" s="1"/>
  <c r="E35" i="3"/>
  <c r="E36" i="3" s="1"/>
  <c r="E152" i="3" s="1"/>
  <c r="P58" i="3"/>
  <c r="P60" i="3" s="1"/>
  <c r="E57" i="3"/>
  <c r="E58" i="3"/>
  <c r="E60" i="3" s="1"/>
  <c r="M35" i="3"/>
  <c r="M36" i="3" s="1"/>
  <c r="M152" i="3" s="1"/>
  <c r="M57" i="3"/>
  <c r="D58" i="3"/>
  <c r="D60" i="3" s="1"/>
  <c r="H58" i="3"/>
  <c r="H60" i="3" s="1"/>
  <c r="G58" i="3"/>
  <c r="G60" i="3" s="1"/>
  <c r="O52" i="3"/>
  <c r="O53" i="3" s="1"/>
  <c r="N58" i="3"/>
  <c r="N60" i="3" s="1"/>
  <c r="N52" i="3"/>
  <c r="N53" i="3" s="1"/>
  <c r="J52" i="3"/>
  <c r="J53" i="3" s="1"/>
  <c r="I52" i="3"/>
  <c r="I53" i="3" s="1"/>
  <c r="I58" i="3"/>
  <c r="I60" i="3" s="1"/>
  <c r="Q34" i="3"/>
  <c r="Q72" i="3" s="1"/>
  <c r="O58" i="3"/>
  <c r="O60" i="3" s="1"/>
  <c r="Q17" i="3"/>
  <c r="Q66" i="3" s="1"/>
  <c r="Q20" i="3"/>
  <c r="J57" i="3"/>
  <c r="K36" i="3"/>
  <c r="K152" i="3" s="1"/>
  <c r="Q51" i="3"/>
  <c r="Q64" i="3" s="1"/>
  <c r="Q110" i="3"/>
  <c r="Q56" i="3"/>
  <c r="O57" i="3"/>
  <c r="O36" i="3"/>
  <c r="O152" i="3" s="1"/>
  <c r="D36" i="3"/>
  <c r="D152" i="3" s="1"/>
  <c r="G57" i="3"/>
  <c r="D57" i="3"/>
  <c r="Q89" i="3"/>
  <c r="H57" i="3"/>
  <c r="H36" i="3"/>
  <c r="H152" i="3" s="1"/>
  <c r="K57" i="3"/>
  <c r="Q99" i="3"/>
  <c r="P57" i="3"/>
  <c r="Q133" i="1"/>
  <c r="E19" i="1"/>
  <c r="F19" i="1"/>
  <c r="G19" i="1"/>
  <c r="H19" i="1"/>
  <c r="I19" i="1"/>
  <c r="J19" i="1"/>
  <c r="K19" i="1"/>
  <c r="L19" i="1"/>
  <c r="M19" i="1"/>
  <c r="N19" i="1"/>
  <c r="O19" i="1"/>
  <c r="P19" i="1"/>
  <c r="Q52" i="3" l="1"/>
  <c r="Q53" i="3" s="1"/>
  <c r="Q82" i="3"/>
  <c r="Q35" i="3"/>
  <c r="Q36" i="3" s="1"/>
  <c r="Q152" i="3" s="1"/>
  <c r="Q129" i="3"/>
  <c r="Q58" i="3"/>
  <c r="Q60" i="3" s="1"/>
  <c r="Q57" i="3"/>
  <c r="Q38" i="1"/>
  <c r="O31" i="1"/>
  <c r="O33" i="1" s="1"/>
  <c r="N31" i="1"/>
  <c r="N33" i="1" s="1"/>
  <c r="M31" i="1"/>
  <c r="M33" i="1" s="1"/>
  <c r="L31" i="1"/>
  <c r="L33" i="1" s="1"/>
  <c r="K31" i="1"/>
  <c r="K33" i="1" s="1"/>
  <c r="J31" i="1"/>
  <c r="J33" i="1" s="1"/>
  <c r="I31" i="1"/>
  <c r="I33" i="1" s="1"/>
  <c r="G31" i="1"/>
  <c r="G33" i="1" s="1"/>
  <c r="F31" i="1"/>
  <c r="F33" i="1" s="1"/>
  <c r="D31" i="1"/>
  <c r="D33" i="1" s="1"/>
  <c r="E33" i="1"/>
  <c r="H33" i="1"/>
  <c r="P33" i="1"/>
  <c r="S33" i="1"/>
  <c r="S34" i="1" s="1"/>
  <c r="Q32" i="1"/>
  <c r="Q61" i="3" l="1"/>
  <c r="D104" i="1" l="1"/>
  <c r="E104" i="1"/>
  <c r="F104" i="1"/>
  <c r="G104" i="1"/>
  <c r="H104" i="1"/>
  <c r="I104" i="1"/>
  <c r="J104" i="1"/>
  <c r="K104" i="1"/>
  <c r="L104" i="1"/>
  <c r="M104" i="1"/>
  <c r="N104" i="1"/>
  <c r="O104" i="1"/>
  <c r="P104" i="1"/>
  <c r="E61" i="1"/>
  <c r="F61" i="1"/>
  <c r="G61" i="1"/>
  <c r="H61" i="1"/>
  <c r="I61" i="1"/>
  <c r="J61" i="1"/>
  <c r="K61" i="1"/>
  <c r="L61" i="1"/>
  <c r="M61" i="1"/>
  <c r="N61" i="1"/>
  <c r="O61" i="1"/>
  <c r="P61" i="1"/>
  <c r="D61" i="1"/>
  <c r="Q127" i="1" l="1"/>
  <c r="Q134" i="1" s="1"/>
  <c r="Q122" i="1"/>
  <c r="Q120" i="1"/>
  <c r="C120" i="1"/>
  <c r="Q113" i="1"/>
  <c r="Q111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Q108" i="1"/>
  <c r="Q109" i="1" s="1"/>
  <c r="P107" i="1"/>
  <c r="O107" i="1"/>
  <c r="N107" i="1"/>
  <c r="M107" i="1"/>
  <c r="K107" i="1"/>
  <c r="J107" i="1"/>
  <c r="H107" i="1"/>
  <c r="F107" i="1"/>
  <c r="E107" i="1"/>
  <c r="D107" i="1"/>
  <c r="P106" i="1"/>
  <c r="O106" i="1"/>
  <c r="N106" i="1"/>
  <c r="M106" i="1"/>
  <c r="L106" i="1"/>
  <c r="K106" i="1"/>
  <c r="J106" i="1"/>
  <c r="I106" i="1"/>
  <c r="H106" i="1"/>
  <c r="F106" i="1"/>
  <c r="E106" i="1"/>
  <c r="D106" i="1"/>
  <c r="Q103" i="1"/>
  <c r="Q104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100" i="1"/>
  <c r="Q101" i="1" s="1"/>
  <c r="Q98" i="1"/>
  <c r="Q95" i="1"/>
  <c r="Q88" i="1"/>
  <c r="Q73" i="1"/>
  <c r="Q65" i="1"/>
  <c r="Q131" i="1" s="1"/>
  <c r="P55" i="1"/>
  <c r="O55" i="1"/>
  <c r="O56" i="1" s="1"/>
  <c r="N55" i="1"/>
  <c r="N56" i="1" s="1"/>
  <c r="M55" i="1"/>
  <c r="M56" i="1" s="1"/>
  <c r="L55" i="1"/>
  <c r="K55" i="1"/>
  <c r="K56" i="1" s="1"/>
  <c r="J55" i="1"/>
  <c r="J56" i="1" s="1"/>
  <c r="I55" i="1"/>
  <c r="I56" i="1" s="1"/>
  <c r="H55" i="1"/>
  <c r="G55" i="1"/>
  <c r="G56" i="1" s="1"/>
  <c r="F55" i="1"/>
  <c r="F56" i="1" s="1"/>
  <c r="E55" i="1"/>
  <c r="E56" i="1" s="1"/>
  <c r="D55" i="1"/>
  <c r="Q54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P110" i="1" s="1"/>
  <c r="O48" i="1"/>
  <c r="O110" i="1" s="1"/>
  <c r="N48" i="1"/>
  <c r="N110" i="1" s="1"/>
  <c r="M48" i="1"/>
  <c r="M110" i="1" s="1"/>
  <c r="L48" i="1"/>
  <c r="L110" i="1" s="1"/>
  <c r="K48" i="1"/>
  <c r="K110" i="1" s="1"/>
  <c r="J48" i="1"/>
  <c r="J110" i="1" s="1"/>
  <c r="I48" i="1"/>
  <c r="I110" i="1" s="1"/>
  <c r="H48" i="1"/>
  <c r="H110" i="1" s="1"/>
  <c r="G48" i="1"/>
  <c r="G110" i="1" s="1"/>
  <c r="F48" i="1"/>
  <c r="F110" i="1" s="1"/>
  <c r="E48" i="1"/>
  <c r="E110" i="1" s="1"/>
  <c r="D48" i="1"/>
  <c r="D110" i="1" s="1"/>
  <c r="Q47" i="1"/>
  <c r="Q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Q44" i="1"/>
  <c r="Q4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9" i="1"/>
  <c r="Q42" i="1" s="1"/>
  <c r="Q41" i="1"/>
  <c r="Q31" i="1"/>
  <c r="Q33" i="1" s="1"/>
  <c r="P30" i="1"/>
  <c r="P34" i="1" s="1"/>
  <c r="P137" i="1" s="1"/>
  <c r="O30" i="1"/>
  <c r="O34" i="1" s="1"/>
  <c r="O137" i="1" s="1"/>
  <c r="N30" i="1"/>
  <c r="N34" i="1" s="1"/>
  <c r="N137" i="1" s="1"/>
  <c r="M30" i="1"/>
  <c r="M34" i="1" s="1"/>
  <c r="M137" i="1" s="1"/>
  <c r="L30" i="1"/>
  <c r="L34" i="1" s="1"/>
  <c r="L137" i="1" s="1"/>
  <c r="K30" i="1"/>
  <c r="K34" i="1" s="1"/>
  <c r="K137" i="1" s="1"/>
  <c r="J30" i="1"/>
  <c r="I30" i="1"/>
  <c r="I34" i="1" s="1"/>
  <c r="I137" i="1" s="1"/>
  <c r="H30" i="1"/>
  <c r="H34" i="1" s="1"/>
  <c r="H137" i="1" s="1"/>
  <c r="G30" i="1"/>
  <c r="G34" i="1" s="1"/>
  <c r="G137" i="1" s="1"/>
  <c r="F30" i="1"/>
  <c r="E30" i="1"/>
  <c r="E34" i="1" s="1"/>
  <c r="E137" i="1" s="1"/>
  <c r="D30" i="1"/>
  <c r="D34" i="1" s="1"/>
  <c r="D137" i="1" s="1"/>
  <c r="Q29" i="1"/>
  <c r="Q28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Q25" i="1"/>
  <c r="Q24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21" i="1"/>
  <c r="D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6" i="1"/>
  <c r="Q19" i="1" s="1"/>
  <c r="P15" i="1"/>
  <c r="P17" i="1" s="1"/>
  <c r="P66" i="1" s="1"/>
  <c r="O15" i="1"/>
  <c r="O63" i="1" s="1"/>
  <c r="N15" i="1"/>
  <c r="N17" i="1" s="1"/>
  <c r="N66" i="1" s="1"/>
  <c r="M15" i="1"/>
  <c r="M63" i="1" s="1"/>
  <c r="L15" i="1"/>
  <c r="L17" i="1" s="1"/>
  <c r="L66" i="1" s="1"/>
  <c r="K15" i="1"/>
  <c r="K63" i="1" s="1"/>
  <c r="J15" i="1"/>
  <c r="J17" i="1" s="1"/>
  <c r="J66" i="1" s="1"/>
  <c r="I15" i="1"/>
  <c r="I63" i="1" s="1"/>
  <c r="H15" i="1"/>
  <c r="H17" i="1" s="1"/>
  <c r="H66" i="1" s="1"/>
  <c r="G15" i="1"/>
  <c r="G63" i="1" s="1"/>
  <c r="F15" i="1"/>
  <c r="F17" i="1" s="1"/>
  <c r="F66" i="1" s="1"/>
  <c r="E15" i="1"/>
  <c r="E63" i="1" s="1"/>
  <c r="D15" i="1"/>
  <c r="D17" i="1" s="1"/>
  <c r="D66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Q12" i="1"/>
  <c r="Q11" i="1"/>
  <c r="P9" i="1"/>
  <c r="P10" i="1" s="1"/>
  <c r="O9" i="1"/>
  <c r="O10" i="1" s="1"/>
  <c r="N9" i="1"/>
  <c r="N10" i="1" s="1"/>
  <c r="M9" i="1"/>
  <c r="M10" i="1" s="1"/>
  <c r="L9" i="1"/>
  <c r="L10" i="1" s="1"/>
  <c r="K9" i="1"/>
  <c r="K10" i="1" s="1"/>
  <c r="J9" i="1"/>
  <c r="J10" i="1" s="1"/>
  <c r="I9" i="1"/>
  <c r="I10" i="1" s="1"/>
  <c r="H9" i="1"/>
  <c r="H10" i="1" s="1"/>
  <c r="G9" i="1"/>
  <c r="G10" i="1" s="1"/>
  <c r="F9" i="1"/>
  <c r="F10" i="1" s="1"/>
  <c r="E9" i="1"/>
  <c r="D9" i="1"/>
  <c r="D10" i="1" s="1"/>
  <c r="Q8" i="1"/>
  <c r="P7" i="1"/>
  <c r="O7" i="1"/>
  <c r="N7" i="1"/>
  <c r="M7" i="1"/>
  <c r="L7" i="1"/>
  <c r="K7" i="1"/>
  <c r="J7" i="1"/>
  <c r="I7" i="1"/>
  <c r="H7" i="1"/>
  <c r="G7" i="1"/>
  <c r="F7" i="1"/>
  <c r="E7" i="1"/>
  <c r="D7" i="1"/>
  <c r="Q6" i="1"/>
  <c r="Q5" i="1"/>
  <c r="Q132" i="1" l="1"/>
  <c r="Q96" i="1"/>
  <c r="G51" i="1"/>
  <c r="G64" i="1" s="1"/>
  <c r="K51" i="1"/>
  <c r="K64" i="1" s="1"/>
  <c r="L20" i="1"/>
  <c r="P20" i="1"/>
  <c r="I43" i="1"/>
  <c r="Q106" i="1"/>
  <c r="O51" i="1"/>
  <c r="O64" i="1" s="1"/>
  <c r="M43" i="1"/>
  <c r="E43" i="1"/>
  <c r="J34" i="1"/>
  <c r="F34" i="1"/>
  <c r="Q30" i="1"/>
  <c r="Q34" i="1" s="1"/>
  <c r="Q13" i="1"/>
  <c r="M17" i="1"/>
  <c r="M66" i="1" s="1"/>
  <c r="D43" i="1"/>
  <c r="H43" i="1"/>
  <c r="L43" i="1"/>
  <c r="P43" i="1"/>
  <c r="D51" i="1"/>
  <c r="D64" i="1" s="1"/>
  <c r="H51" i="1"/>
  <c r="H64" i="1" s="1"/>
  <c r="P51" i="1"/>
  <c r="P64" i="1" s="1"/>
  <c r="Q128" i="1"/>
  <c r="I17" i="1"/>
  <c r="I66" i="1" s="1"/>
  <c r="E17" i="1"/>
  <c r="E66" i="1" s="1"/>
  <c r="H20" i="1"/>
  <c r="D20" i="1"/>
  <c r="Q107" i="1"/>
  <c r="F51" i="1"/>
  <c r="F64" i="1" s="1"/>
  <c r="J51" i="1"/>
  <c r="J64" i="1" s="1"/>
  <c r="E51" i="1"/>
  <c r="E64" i="1" s="1"/>
  <c r="I51" i="1"/>
  <c r="I64" i="1" s="1"/>
  <c r="M51" i="1"/>
  <c r="M64" i="1" s="1"/>
  <c r="N51" i="1"/>
  <c r="N64" i="1" s="1"/>
  <c r="Q50" i="1"/>
  <c r="Q49" i="1"/>
  <c r="G43" i="1"/>
  <c r="O43" i="1"/>
  <c r="F43" i="1"/>
  <c r="J43" i="1"/>
  <c r="N43" i="1"/>
  <c r="K43" i="1"/>
  <c r="Q40" i="1"/>
  <c r="Q43" i="1" s="1"/>
  <c r="H52" i="1"/>
  <c r="H53" i="1" s="1"/>
  <c r="H35" i="1"/>
  <c r="H36" i="1" s="1"/>
  <c r="H152" i="1" s="1"/>
  <c r="P52" i="1"/>
  <c r="P53" i="1" s="1"/>
  <c r="P35" i="1"/>
  <c r="P36" i="1" s="1"/>
  <c r="P152" i="1" s="1"/>
  <c r="D52" i="1"/>
  <c r="D53" i="1" s="1"/>
  <c r="D35" i="1"/>
  <c r="D36" i="1" s="1"/>
  <c r="D152" i="1" s="1"/>
  <c r="L58" i="1"/>
  <c r="L60" i="1" s="1"/>
  <c r="Q26" i="1"/>
  <c r="E20" i="1"/>
  <c r="I20" i="1"/>
  <c r="M20" i="1"/>
  <c r="O17" i="1"/>
  <c r="O66" i="1" s="1"/>
  <c r="K17" i="1"/>
  <c r="K66" i="1" s="1"/>
  <c r="G17" i="1"/>
  <c r="G66" i="1" s="1"/>
  <c r="D57" i="1"/>
  <c r="H57" i="1"/>
  <c r="L57" i="1"/>
  <c r="P57" i="1"/>
  <c r="Q14" i="1"/>
  <c r="K20" i="1"/>
  <c r="Q9" i="1"/>
  <c r="Q10" i="1" s="1"/>
  <c r="E10" i="1"/>
  <c r="F20" i="1"/>
  <c r="J20" i="1"/>
  <c r="N20" i="1"/>
  <c r="G20" i="1"/>
  <c r="O20" i="1"/>
  <c r="Q7" i="1"/>
  <c r="L51" i="1"/>
  <c r="L64" i="1" s="1"/>
  <c r="L52" i="1"/>
  <c r="L53" i="1" s="1"/>
  <c r="E58" i="1"/>
  <c r="E60" i="1" s="1"/>
  <c r="E52" i="1"/>
  <c r="E53" i="1" s="1"/>
  <c r="E35" i="1"/>
  <c r="I58" i="1"/>
  <c r="I60" i="1" s="1"/>
  <c r="I52" i="1"/>
  <c r="I53" i="1" s="1"/>
  <c r="I35" i="1"/>
  <c r="M58" i="1"/>
  <c r="M60" i="1" s="1"/>
  <c r="M52" i="1"/>
  <c r="M53" i="1" s="1"/>
  <c r="M35" i="1"/>
  <c r="N58" i="1"/>
  <c r="N60" i="1" s="1"/>
  <c r="N52" i="1"/>
  <c r="N53" i="1" s="1"/>
  <c r="N35" i="1"/>
  <c r="N36" i="1" s="1"/>
  <c r="N152" i="1" s="1"/>
  <c r="G35" i="1"/>
  <c r="G58" i="1"/>
  <c r="G60" i="1" s="1"/>
  <c r="G52" i="1"/>
  <c r="G53" i="1" s="1"/>
  <c r="K35" i="1"/>
  <c r="K58" i="1"/>
  <c r="K60" i="1" s="1"/>
  <c r="K52" i="1"/>
  <c r="K53" i="1" s="1"/>
  <c r="O35" i="1"/>
  <c r="O58" i="1"/>
  <c r="O60" i="1" s="1"/>
  <c r="O52" i="1"/>
  <c r="O53" i="1" s="1"/>
  <c r="J57" i="1"/>
  <c r="N57" i="1"/>
  <c r="Q18" i="1"/>
  <c r="D56" i="1"/>
  <c r="H56" i="1"/>
  <c r="L56" i="1"/>
  <c r="P56" i="1"/>
  <c r="F57" i="1"/>
  <c r="D58" i="1"/>
  <c r="D60" i="1" s="1"/>
  <c r="H58" i="1"/>
  <c r="H60" i="1" s="1"/>
  <c r="P58" i="1"/>
  <c r="P60" i="1" s="1"/>
  <c r="F63" i="1"/>
  <c r="J63" i="1"/>
  <c r="N63" i="1"/>
  <c r="G99" i="1"/>
  <c r="K99" i="1"/>
  <c r="O99" i="1"/>
  <c r="Q15" i="1"/>
  <c r="Q22" i="1"/>
  <c r="Q55" i="1"/>
  <c r="F99" i="1"/>
  <c r="J99" i="1"/>
  <c r="N99" i="1"/>
  <c r="Q48" i="1"/>
  <c r="Q89" i="1" s="1"/>
  <c r="D63" i="1"/>
  <c r="H63" i="1"/>
  <c r="L63" i="1"/>
  <c r="P63" i="1"/>
  <c r="E99" i="1"/>
  <c r="I99" i="1"/>
  <c r="M99" i="1"/>
  <c r="D99" i="1"/>
  <c r="H99" i="1"/>
  <c r="L99" i="1"/>
  <c r="P99" i="1"/>
  <c r="G36" i="1" l="1"/>
  <c r="G152" i="1" s="1"/>
  <c r="F35" i="1"/>
  <c r="F36" i="1" s="1"/>
  <c r="F152" i="1" s="1"/>
  <c r="F137" i="1"/>
  <c r="M36" i="1"/>
  <c r="M152" i="1" s="1"/>
  <c r="J35" i="1"/>
  <c r="J36" i="1" s="1"/>
  <c r="J152" i="1" s="1"/>
  <c r="J137" i="1"/>
  <c r="F52" i="1"/>
  <c r="F53" i="1" s="1"/>
  <c r="E36" i="1"/>
  <c r="E152" i="1" s="1"/>
  <c r="O57" i="1"/>
  <c r="J52" i="1"/>
  <c r="J53" i="1" s="1"/>
  <c r="F58" i="1"/>
  <c r="F60" i="1" s="1"/>
  <c r="M57" i="1"/>
  <c r="I36" i="1"/>
  <c r="I152" i="1" s="1"/>
  <c r="J58" i="1"/>
  <c r="J60" i="1" s="1"/>
  <c r="E57" i="1"/>
  <c r="K36" i="1"/>
  <c r="K152" i="1" s="1"/>
  <c r="I57" i="1"/>
  <c r="L35" i="1"/>
  <c r="L36" i="1" s="1"/>
  <c r="L152" i="1" s="1"/>
  <c r="O36" i="1"/>
  <c r="O152" i="1" s="1"/>
  <c r="G57" i="1"/>
  <c r="K57" i="1"/>
  <c r="Q20" i="1"/>
  <c r="Q72" i="1"/>
  <c r="Q58" i="1"/>
  <c r="Q60" i="1" s="1"/>
  <c r="Q129" i="1"/>
  <c r="Q52" i="1"/>
  <c r="Q53" i="1" s="1"/>
  <c r="Q82" i="1"/>
  <c r="Q35" i="1"/>
  <c r="Q110" i="1"/>
  <c r="Q99" i="1"/>
  <c r="Q51" i="1"/>
  <c r="Q64" i="1" s="1"/>
  <c r="Q56" i="1"/>
  <c r="Q17" i="1"/>
  <c r="Q66" i="1" s="1"/>
  <c r="Q63" i="1"/>
  <c r="Q61" i="1" l="1"/>
  <c r="Q137" i="1"/>
  <c r="Q57" i="1"/>
  <c r="Q36" i="1"/>
  <c r="Q152" i="1" s="1"/>
</calcChain>
</file>

<file path=xl/sharedStrings.xml><?xml version="1.0" encoding="utf-8"?>
<sst xmlns="http://schemas.openxmlformats.org/spreadsheetml/2006/main" count="9134" uniqueCount="242">
  <si>
    <t>PUNE  MAHANAGAR  PARIVAHAN  MAHAMANDAL  LTD.</t>
  </si>
  <si>
    <t>No</t>
  </si>
  <si>
    <t>Items</t>
  </si>
  <si>
    <t>Swargate</t>
  </si>
  <si>
    <t>N T Wadi</t>
  </si>
  <si>
    <t>Kothrud</t>
  </si>
  <si>
    <t>Katraj</t>
  </si>
  <si>
    <t>Hadapsar</t>
  </si>
  <si>
    <t>Marketyard</t>
  </si>
  <si>
    <t>P Station</t>
  </si>
  <si>
    <t>Nigadi</t>
  </si>
  <si>
    <t xml:space="preserve">Bhosari </t>
  </si>
  <si>
    <t xml:space="preserve">Pimpri </t>
  </si>
  <si>
    <t>Bhekrai</t>
  </si>
  <si>
    <t>Shewalwadi</t>
  </si>
  <si>
    <t xml:space="preserve">Balewadi </t>
  </si>
  <si>
    <t>1a)</t>
  </si>
  <si>
    <t xml:space="preserve">Hire Vehicles Per Day </t>
  </si>
  <si>
    <t>Total Per Day</t>
  </si>
  <si>
    <t>b)</t>
  </si>
  <si>
    <t xml:space="preserve">Avg-Vehicle held Per Day PML </t>
  </si>
  <si>
    <t xml:space="preserve">Hire Vehicles  Per Day </t>
  </si>
  <si>
    <t>Total (PMPML+HIRE)Per Day</t>
  </si>
  <si>
    <t>2a)</t>
  </si>
  <si>
    <t>Avg. vehicles on road- PMPML Per Day</t>
  </si>
  <si>
    <t>Avg. Spare Vehicles Per Day</t>
  </si>
  <si>
    <t>Avg.Available Veh. on Road PML</t>
  </si>
  <si>
    <t>% of Spare Vehicles</t>
  </si>
  <si>
    <t>2b)</t>
  </si>
  <si>
    <t>Avg. vehicles on road - PMPML Per Day</t>
  </si>
  <si>
    <t>Total Avg.Veh- on Road Per Day</t>
  </si>
  <si>
    <t>Average vehicles off road - PMPML Per Day</t>
  </si>
  <si>
    <t>Total Vehicles off Road Per Day</t>
  </si>
  <si>
    <t>Avg.Workshop Vehicles  Per Day</t>
  </si>
  <si>
    <t>% of Workshop Vehicles</t>
  </si>
  <si>
    <t>No.of schedules Sanctioned  Per Day</t>
  </si>
  <si>
    <t>Average No.of schedule operated-  Per Day-PMPML Vehicles</t>
  </si>
  <si>
    <t xml:space="preserve">Hire Vehciles Per Day </t>
  </si>
  <si>
    <t>Total Per Day(PML+HIRED)</t>
  </si>
  <si>
    <t>Schedules Sanctioned Kms.</t>
  </si>
  <si>
    <t>Effective Kms Operated Diesel</t>
  </si>
  <si>
    <t>Effective Kms Operated CNG</t>
  </si>
  <si>
    <t>Effe. Kms Operated PML+CNG</t>
  </si>
  <si>
    <t>Hired Vechiles Effective  Kms.</t>
  </si>
  <si>
    <t>Daily average Effective Km</t>
  </si>
  <si>
    <t>Effective Km Per Bus Per day</t>
  </si>
  <si>
    <t>Dead Kms.(PMPML)</t>
  </si>
  <si>
    <t>1) Route Dead Kms.- Diesel</t>
  </si>
  <si>
    <t xml:space="preserve"> Route Dead Kms.- CNG</t>
  </si>
  <si>
    <t>Total Deade Kms (Diesel+CNG)</t>
  </si>
  <si>
    <t>Daily average Dead Km -Diesel</t>
  </si>
  <si>
    <t>Daily average Dead Km -CNG</t>
  </si>
  <si>
    <t>Total Per Day Dead Kms (Diesel+CNG)</t>
  </si>
  <si>
    <t>2) Crew &amp; Misc Kms.(PMPML)</t>
  </si>
  <si>
    <t>Daily average Crew &amp; Misc.km</t>
  </si>
  <si>
    <t>Gross Kms(Effe.+Dead) -Diesel</t>
  </si>
  <si>
    <t>Gross Kms(Effe.+Dead) -CNG</t>
  </si>
  <si>
    <t>Total Gross Kms (Diesel+CNG)</t>
  </si>
  <si>
    <t>Daily average of Gross Km-Diesel</t>
  </si>
  <si>
    <t>Daily average of Gross Km-CNG</t>
  </si>
  <si>
    <t>Total Daily Avg.(Diesel+CNG)</t>
  </si>
  <si>
    <t>Total Cancelled km.</t>
  </si>
  <si>
    <t>Daily average of Cancelled km.</t>
  </si>
  <si>
    <t>Passenger earning (Sale of Ticket) in Rs.</t>
  </si>
  <si>
    <t>Average daily earning in Rs.</t>
  </si>
  <si>
    <t>Earning / passenger / day in Rs</t>
  </si>
  <si>
    <t>Earning Per Vehicle Per day in Rs.</t>
  </si>
  <si>
    <t>Earning per kms.in Rs.(EPKM)</t>
  </si>
  <si>
    <t>% Load factor on-</t>
  </si>
  <si>
    <t>1. Sale of tickets</t>
  </si>
  <si>
    <t>2. On Total Traffic Receipts i.e.(Earning from All types of Passes, Luxury, Monthly Contr.Casual Contract etc as per depotwise eff. k.m.)</t>
  </si>
  <si>
    <t>Cost per Bus  kms in Rs. (As per Balance sheet 2017-2018)</t>
  </si>
  <si>
    <t>-</t>
  </si>
  <si>
    <t>% of fleet utilisation (pmpml only)</t>
  </si>
  <si>
    <t>Vehicle utilisation in kms. (Gross) (pmpml only)</t>
  </si>
  <si>
    <t>Avg.passenger travel per day (On Ticket Sale)</t>
  </si>
  <si>
    <t>Passenger Per Bus Per day</t>
  </si>
  <si>
    <t>Total amount of fine recovered by  the Traffic Sup.Staff in Rs.</t>
  </si>
  <si>
    <t xml:space="preserve">Total casual contracts accepted </t>
  </si>
  <si>
    <t>Total no.of Vehicles supplied</t>
  </si>
  <si>
    <t>Total no. of student passes issued</t>
  </si>
  <si>
    <t>Amt. recd from student passes inRs</t>
  </si>
  <si>
    <t xml:space="preserve">Earning Per Km of student passes in Rs </t>
  </si>
  <si>
    <t>Total no. of  passes issued</t>
  </si>
  <si>
    <t>One day (Rs.40 per day)                                   (Sr.Citizen Passes)</t>
  </si>
  <si>
    <t xml:space="preserve">One day (Rs.70 per day)    </t>
  </si>
  <si>
    <t>Monthly (Rs.500  per month                  (Sr.Citizen Passes)</t>
  </si>
  <si>
    <t xml:space="preserve">Monthly (Rs.700 per month )   </t>
  </si>
  <si>
    <t xml:space="preserve">Monthly (Rs.1400 )                          within PMC &amp; PCMC Limit </t>
  </si>
  <si>
    <t>Pune Darshan Seva</t>
  </si>
  <si>
    <t>Other Punching Passes</t>
  </si>
  <si>
    <t>Amount Received from all commuters  Passes in Rs.</t>
  </si>
  <si>
    <t>Earning per K.m.of commuters passes in Rs.</t>
  </si>
  <si>
    <t>22a)</t>
  </si>
  <si>
    <t>No.of  Accidents (PMPML)</t>
  </si>
  <si>
    <t>1. Fatal</t>
  </si>
  <si>
    <t>2. Major</t>
  </si>
  <si>
    <t>3. Minor</t>
  </si>
  <si>
    <t>4. Insignificants</t>
  </si>
  <si>
    <t xml:space="preserve">Total </t>
  </si>
  <si>
    <t>Rate of Accidents per one lac kms.</t>
  </si>
  <si>
    <t>No.of  Accidents (HIRED)</t>
  </si>
  <si>
    <t>WORKSHOP PERFORMANCE</t>
  </si>
  <si>
    <t xml:space="preserve">Total no. of breakdown </t>
  </si>
  <si>
    <t>Breakdown rate per 10000 Kms.</t>
  </si>
  <si>
    <t>Diesel Conusmption in litres- PMPML</t>
  </si>
  <si>
    <t>Diesel Conusmption per Day in litres- PMPML</t>
  </si>
  <si>
    <t>Diesel Consumption In litres per Bus per day</t>
  </si>
  <si>
    <t>CNG Consumption in kg. (PML)</t>
  </si>
  <si>
    <t>CNG Consumption Per Day (PML)</t>
  </si>
  <si>
    <t xml:space="preserve">CNG Consumption in kg per Bus per Day </t>
  </si>
  <si>
    <t>Kms. per litre of diesel (KMPL)</t>
  </si>
  <si>
    <t>Kms. per Kg.of CNG (KMPG)</t>
  </si>
  <si>
    <t>Engine Oil Consumption in litres     (top-up)</t>
  </si>
  <si>
    <t>Engine Oil Cons.in litres per day</t>
  </si>
  <si>
    <t xml:space="preserve">Kilometer per litre of Engine oil </t>
  </si>
  <si>
    <t xml:space="preserve">No.of new tyres removed for retreading </t>
  </si>
  <si>
    <t>Average kms. per new tyres</t>
  </si>
  <si>
    <t xml:space="preserve">No.of retreaded tyres removed for further retreading </t>
  </si>
  <si>
    <t>Average kms. per retreaded tyres</t>
  </si>
  <si>
    <t>OTHER IMPORTANT INFORMATION</t>
  </si>
  <si>
    <t xml:space="preserve"> </t>
  </si>
  <si>
    <t xml:space="preserve">Total Bus staff ratio </t>
  </si>
  <si>
    <t xml:space="preserve">Norm </t>
  </si>
  <si>
    <t>A) Administration</t>
  </si>
  <si>
    <t>B) Traffic</t>
  </si>
  <si>
    <t xml:space="preserve">C) Workshop </t>
  </si>
  <si>
    <t>Total (A+B+C)</t>
  </si>
  <si>
    <t>Average salary per employee per day (incl DW workers on duty) Rs.</t>
  </si>
  <si>
    <t>Total no. of default cases reported  DEO</t>
  </si>
  <si>
    <t>Total no. of passenger complaints recd.  (including telephone)</t>
  </si>
  <si>
    <t xml:space="preserve">No.of routes operated </t>
  </si>
  <si>
    <t>Average route length in kms.</t>
  </si>
  <si>
    <t xml:space="preserve">All Traffic Earning </t>
  </si>
  <si>
    <t>Average daily earning Rs.</t>
  </si>
  <si>
    <t xml:space="preserve">Earning per passenger per day </t>
  </si>
  <si>
    <t>Earning per kms. in Rs.</t>
  </si>
  <si>
    <t>Avg. passenger per day on traffic (including ticket sales commuters passes, student passes, monthly &amp; casual contract, luxury service etc)</t>
  </si>
  <si>
    <t>Avg passenger per day (Passes, C.c.contract, Aram Bus)</t>
  </si>
  <si>
    <t>%of Avg passenger per day (Passes,C.cont, Aram Bus)</t>
  </si>
  <si>
    <t>Avg Passenger per Bus per day on Traffic</t>
  </si>
  <si>
    <t>Earning per Bus per day on Traffic Revenue</t>
  </si>
  <si>
    <t>Dept : Statistic/</t>
  </si>
  <si>
    <t xml:space="preserve">Transport Manager </t>
  </si>
  <si>
    <t>Pune Mahanagar Parivahan Mahamandal Ltd.</t>
  </si>
  <si>
    <t>DEPOTWISE  STATISTICAL REPORT  FOR  THE  MONTH  OF APRIL  2019</t>
  </si>
  <si>
    <t>Avg. vehicles held - Per Day PMPML as on30/04/.2019</t>
  </si>
  <si>
    <t>APR.2019  Total</t>
  </si>
  <si>
    <t>MAR.2019   Total</t>
  </si>
  <si>
    <t>APR.2018  Total</t>
  </si>
  <si>
    <t>Total Hired Vehicle Eff.Kms.</t>
  </si>
  <si>
    <t>Date :     /05/2019</t>
  </si>
  <si>
    <t>TotalEff.Km. (Diesel+CNG+Hire)</t>
  </si>
  <si>
    <t>Hired E-Vehicles Eff.kms.</t>
  </si>
  <si>
    <t>DEPOTWISE  STATISTICAL REPORT  FOR  THE  MONTH  OF MAY  2019</t>
  </si>
  <si>
    <t>MAY 2019  Total</t>
  </si>
  <si>
    <t>APR 2019   Total</t>
  </si>
  <si>
    <t>MAY 2018  Total</t>
  </si>
  <si>
    <t>Avg. vehicles held - Per Day PMPML as on 31/05/.2019</t>
  </si>
  <si>
    <t>Date : 26/06/2019</t>
  </si>
  <si>
    <t>Dept : Statistic/33</t>
  </si>
  <si>
    <t>DEPOTWISE  STATISTICAL REPORT  FOR  THE  MONTH  OF JUNE  2019</t>
  </si>
  <si>
    <t>Avg. vehicles held - Per Day PMPML as on30/06/.2019</t>
  </si>
  <si>
    <t>Date :     /07/2019</t>
  </si>
  <si>
    <t>JUNE 2019  Total</t>
  </si>
  <si>
    <t>MAY 2019   Total</t>
  </si>
  <si>
    <t>JUNE 2018  Total</t>
  </si>
  <si>
    <t>2. On Total Traffic Receipts i.e.(Earning from All types of Passes, Luxury, Monthly Contr .Casual Contract etc as per depotwise eff. k.m.)</t>
  </si>
  <si>
    <t>DEPOTWISE  STATISTICAL REPORT  FOR  THE  MONTH  OF JULY  2019</t>
  </si>
  <si>
    <t>Avg. vehicles held - Per Day PMPML as on 31/07/.2019</t>
  </si>
  <si>
    <t>JULY  2019  Total</t>
  </si>
  <si>
    <t>JUNE 2019   Total</t>
  </si>
  <si>
    <t>JULY 2018  Total</t>
  </si>
  <si>
    <t>Gross Kms(Effe.+Dead)-Diesel</t>
  </si>
  <si>
    <t>Average No.of schedule operated-Per Day-PMPML Vehicles</t>
  </si>
  <si>
    <t>Total Eff.Km (Diesel+CNG+Hire)</t>
  </si>
  <si>
    <t>2. On Total Traffic Receipts i.e.(Earning from All types of Passes, Luxury, Monthly Contract, Casual Contract etc as per depotwise eff. k.m.)</t>
  </si>
  <si>
    <t>Amt. recd from student passes in Rs</t>
  </si>
  <si>
    <t>Engine Oil Cons.in litres perday</t>
  </si>
  <si>
    <t>Avg. kms.per retreaded tyres</t>
  </si>
  <si>
    <t>Avg. kms. per new tyres</t>
  </si>
  <si>
    <t>Date : /08/2019</t>
  </si>
  <si>
    <t>DEPOTWISE  STATISTICAL REPORT  FOR  THE  MONTH  OF AUGUST 2019</t>
  </si>
  <si>
    <t>Avg. vehicles held - Per Day PMPML as on 31/08/.2019</t>
  </si>
  <si>
    <t>AUGUST  2019  Total</t>
  </si>
  <si>
    <t>JULY 2019   Total</t>
  </si>
  <si>
    <t>AUGUST 2018  Total</t>
  </si>
  <si>
    <t>Total Gross Kms(Diesel+CNG)</t>
  </si>
  <si>
    <t>Date :   /09/2019</t>
  </si>
  <si>
    <t>DEPOTWISE  STATISTICAL REPORT  FOR  THE  MONTH  OF SEPTEMBER 2019</t>
  </si>
  <si>
    <t>AUGUST 2019   Total</t>
  </si>
  <si>
    <t>SEPT.2018  Total</t>
  </si>
  <si>
    <t>SEPT.  2019  Total</t>
  </si>
  <si>
    <t>Cost per Bus  kms in Rs. (As per Balance sheet 2018-2019)</t>
  </si>
  <si>
    <t>Date :      /10/2019</t>
  </si>
  <si>
    <t>Avg. vehicles held - Per Day PMPML as on 30/09/.2019</t>
  </si>
  <si>
    <t>Date :    /10/2019</t>
  </si>
  <si>
    <t>DEPOTWISE  STATISTICAL REPORT  FOR  THE  MONTH  OF OCTOBER 2019</t>
  </si>
  <si>
    <t>OCT.  2019  Total</t>
  </si>
  <si>
    <t>SEPT. 2019   Total</t>
  </si>
  <si>
    <t>OCT. 2018  Total</t>
  </si>
  <si>
    <t>Avg. vehicles held - Per Day PMPML as on 31/10/.2019</t>
  </si>
  <si>
    <t>DEPOTWISE  STATISTICAL REPORT  FOR  THE  MONTH  OF NOVEMBER 2019</t>
  </si>
  <si>
    <t>Avg. vehicles held - Per Day PMPML as on 30/11/.2019</t>
  </si>
  <si>
    <t>NOV.  2019  Total</t>
  </si>
  <si>
    <t>OCT. 2019   Total</t>
  </si>
  <si>
    <t>NOV. 2018  Total</t>
  </si>
  <si>
    <t xml:space="preserve">No.of schedules Sanctioned  Per Day  - PMPML </t>
  </si>
  <si>
    <t>Hired</t>
  </si>
  <si>
    <t>Date :    /12/2019</t>
  </si>
  <si>
    <t>Avg. vehicles held - Per Day PMPML as on 31/12/.2019</t>
  </si>
  <si>
    <t>DEC  2019  Total</t>
  </si>
  <si>
    <t>NOV. 2019   Total</t>
  </si>
  <si>
    <t>DEC. 2018  Total</t>
  </si>
  <si>
    <t>DEPOTWISE  STATISTICAL REPORT  FOR  THE  MONTH  OF DECEMBER 2019</t>
  </si>
  <si>
    <t>Dept : Statistic/121</t>
  </si>
  <si>
    <t>Date :    23/01/2020</t>
  </si>
  <si>
    <t>DEPOTWISE  STATISTICAL REPORT  FOR  THE  MONTH  OF JANUARY 2020</t>
  </si>
  <si>
    <t>Avg. vehicles held - Per Day PMPML as on 31/01/.2020</t>
  </si>
  <si>
    <t>JAN.2020 Total</t>
  </si>
  <si>
    <t>DEC. 2019   Total</t>
  </si>
  <si>
    <t>JAN.2019  Total</t>
  </si>
  <si>
    <t>Date :   /   /2020</t>
  </si>
  <si>
    <t>Dept : Stat./</t>
  </si>
  <si>
    <t>Avg. vehicles held - Per Day PMPML as on 29/02/2020</t>
  </si>
  <si>
    <t>FEB. 2020 Total</t>
  </si>
  <si>
    <t>FEB .2019  Total</t>
  </si>
  <si>
    <t>--</t>
  </si>
  <si>
    <t>DEPOTWISE  STATISTICAL REPORT  FOR  THE  MONTH  OF MARCH 2020</t>
  </si>
  <si>
    <t>Avg. vehicles held - Per Day PMPML as on 31/03/2020</t>
  </si>
  <si>
    <t>MAR.2020 Total</t>
  </si>
  <si>
    <t>FEB. 2020   Total</t>
  </si>
  <si>
    <t>MAR.2019  Total</t>
  </si>
  <si>
    <t>----</t>
  </si>
  <si>
    <t>Date :   /06/2020</t>
  </si>
  <si>
    <t xml:space="preserve">Note : On account of Covid 19 PMPML Services are closed in lockdown period for normal commuters. The Services are available only for emergency services employees of </t>
  </si>
  <si>
    <t xml:space="preserve">      Water supply department, Police Department, Medical Department, Bank and exceptional cases like relative of hospitalised people etc. </t>
  </si>
  <si>
    <t>Date : 19/06/2020</t>
  </si>
  <si>
    <t>Dept : Stat./9</t>
  </si>
  <si>
    <t>&amp;&amp;&amp;</t>
  </si>
  <si>
    <t>DEPOTWISE  STATISTICAL REPORT  FOR  THE  MONTH  OF FEB. 2020</t>
  </si>
  <si>
    <t>JAN.  2020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</si>
</sst>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b/>
      <sz val="11"/>
      <name val="Kruti Dev 050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/>
  </cellStyleXfs>
  <cellXfs count="683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1" fontId="9" fillId="0" borderId="13" xfId="0" applyNumberFormat="1" applyFont="1" applyBorder="1" applyAlignment="1">
      <alignment horizontal="right" vertical="center" wrapText="1"/>
    </xf>
    <xf numFmtId="0" fontId="8" fillId="0" borderId="0" xfId="0" applyFont="1"/>
    <xf numFmtId="1" fontId="4" fillId="0" borderId="11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5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right" vertical="center" wrapText="1"/>
    </xf>
    <xf numFmtId="1" fontId="9" fillId="0" borderId="8" xfId="0" applyNumberFormat="1" applyFont="1" applyBorder="1" applyAlignment="1">
      <alignment horizontal="right" vertical="center"/>
    </xf>
    <xf numFmtId="1" fontId="9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shrinkToFit="1"/>
    </xf>
    <xf numFmtId="1" fontId="4" fillId="0" borderId="12" xfId="0" applyNumberFormat="1" applyFont="1" applyBorder="1" applyAlignment="1">
      <alignment horizontal="right" vertical="center"/>
    </xf>
    <xf numFmtId="1" fontId="9" fillId="0" borderId="6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1" fontId="9" fillId="0" borderId="11" xfId="0" applyNumberFormat="1" applyFont="1" applyBorder="1" applyAlignment="1">
      <alignment horizontal="right" vertical="center"/>
    </xf>
    <xf numFmtId="1" fontId="9" fillId="0" borderId="12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right" vertical="center"/>
    </xf>
    <xf numFmtId="1" fontId="4" fillId="0" borderId="8" xfId="0" applyNumberFormat="1" applyFont="1" applyBorder="1" applyAlignment="1">
      <alignment horizontal="right" vertical="center"/>
    </xf>
    <xf numFmtId="1" fontId="4" fillId="0" borderId="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2" fontId="9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" fontId="9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2" fontId="9" fillId="0" borderId="8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horizontal="right" vertical="center"/>
    </xf>
    <xf numFmtId="2" fontId="9" fillId="0" borderId="21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22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wrapText="1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top" wrapText="1"/>
    </xf>
    <xf numFmtId="2" fontId="9" fillId="0" borderId="5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1" fontId="9" fillId="0" borderId="23" xfId="0" applyNumberFormat="1" applyFont="1" applyBorder="1" applyAlignment="1">
      <alignment horizontal="right" vertical="center"/>
    </xf>
    <xf numFmtId="1" fontId="9" fillId="0" borderId="2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2" fontId="9" fillId="0" borderId="25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/>
    </xf>
    <xf numFmtId="1" fontId="9" fillId="0" borderId="8" xfId="0" applyNumberFormat="1" applyFont="1" applyBorder="1" applyAlignment="1">
      <alignment horizontal="right"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12" fillId="0" borderId="8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9" fillId="0" borderId="23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2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 wrapText="1"/>
    </xf>
    <xf numFmtId="1" fontId="9" fillId="0" borderId="2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 wrapText="1"/>
    </xf>
    <xf numFmtId="1" fontId="9" fillId="0" borderId="22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5" fillId="0" borderId="0" xfId="0" applyFont="1"/>
    <xf numFmtId="0" fontId="9" fillId="0" borderId="0" xfId="0" applyFont="1"/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/>
    <xf numFmtId="1" fontId="9" fillId="0" borderId="29" xfId="0" applyNumberFormat="1" applyFont="1" applyBorder="1" applyAlignment="1">
      <alignment horizontal="right" vertical="center" wrapText="1"/>
    </xf>
    <xf numFmtId="1" fontId="9" fillId="0" borderId="3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vertical="center"/>
    </xf>
    <xf numFmtId="1" fontId="9" fillId="0" borderId="25" xfId="0" applyNumberFormat="1" applyFont="1" applyBorder="1" applyAlignment="1">
      <alignment horizontal="right" vertical="center"/>
    </xf>
    <xf numFmtId="1" fontId="4" fillId="0" borderId="5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1" fontId="9" fillId="0" borderId="6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horizontal="right" vertical="center" wrapText="1"/>
    </xf>
    <xf numFmtId="0" fontId="8" fillId="0" borderId="23" xfId="0" applyFont="1" applyBorder="1"/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 wrapText="1"/>
    </xf>
    <xf numFmtId="2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2" fontId="9" fillId="0" borderId="5" xfId="0" applyNumberFormat="1" applyFont="1" applyBorder="1" applyAlignment="1">
      <alignment vertical="center"/>
    </xf>
    <xf numFmtId="1" fontId="9" fillId="0" borderId="15" xfId="0" applyNumberFormat="1" applyFont="1" applyBorder="1" applyAlignment="1">
      <alignment horizontal="right" vertical="center" wrapText="1"/>
    </xf>
    <xf numFmtId="1" fontId="9" fillId="0" borderId="8" xfId="0" applyNumberFormat="1" applyFont="1" applyBorder="1" applyAlignment="1">
      <alignment vertical="center"/>
    </xf>
    <xf numFmtId="0" fontId="8" fillId="2" borderId="0" xfId="0" applyFont="1" applyFill="1"/>
    <xf numFmtId="1" fontId="9" fillId="0" borderId="11" xfId="0" applyNumberFormat="1" applyFont="1" applyBorder="1" applyAlignment="1">
      <alignment horizontal="right" vertical="center" wrapText="1"/>
    </xf>
    <xf numFmtId="1" fontId="9" fillId="0" borderId="22" xfId="0" applyNumberFormat="1" applyFont="1" applyBorder="1" applyAlignment="1">
      <alignment vertical="center"/>
    </xf>
    <xf numFmtId="1" fontId="8" fillId="0" borderId="0" xfId="0" applyNumberFormat="1" applyFont="1"/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right" vertical="center"/>
    </xf>
    <xf numFmtId="1" fontId="9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1" fontId="9" fillId="0" borderId="32" xfId="0" applyNumberFormat="1" applyFont="1" applyBorder="1" applyAlignment="1">
      <alignment vertical="center"/>
    </xf>
    <xf numFmtId="1" fontId="9" fillId="0" borderId="33" xfId="0" applyNumberFormat="1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1" fontId="4" fillId="2" borderId="11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left" vertical="center" shrinkToFit="1"/>
    </xf>
    <xf numFmtId="1" fontId="9" fillId="2" borderId="8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 wrapText="1"/>
    </xf>
    <xf numFmtId="1" fontId="9" fillId="2" borderId="11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right" vertical="center" wrapText="1"/>
    </xf>
    <xf numFmtId="1" fontId="9" fillId="2" borderId="11" xfId="0" applyNumberFormat="1" applyFont="1" applyFill="1" applyBorder="1" applyAlignment="1">
      <alignment horizontal="right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right" vertical="center"/>
    </xf>
    <xf numFmtId="1" fontId="4" fillId="2" borderId="8" xfId="0" applyNumberFormat="1" applyFont="1" applyFill="1" applyBorder="1" applyAlignment="1">
      <alignment horizontal="right" vertical="center"/>
    </xf>
    <xf numFmtId="1" fontId="9" fillId="2" borderId="5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9" fillId="2" borderId="8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right" vertical="center"/>
    </xf>
    <xf numFmtId="2" fontId="9" fillId="2" borderId="15" xfId="0" applyNumberFormat="1" applyFont="1" applyFill="1" applyBorder="1" applyAlignment="1">
      <alignment horizontal="right" vertical="center"/>
    </xf>
    <xf numFmtId="2" fontId="9" fillId="2" borderId="5" xfId="0" applyNumberFormat="1" applyFont="1" applyFill="1" applyBorder="1" applyAlignment="1">
      <alignment horizontal="right" vertical="center"/>
    </xf>
    <xf numFmtId="2" fontId="9" fillId="2" borderId="8" xfId="0" applyNumberFormat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right" vertical="center" wrapText="1"/>
    </xf>
    <xf numFmtId="1" fontId="9" fillId="2" borderId="8" xfId="0" applyNumberFormat="1" applyFont="1" applyFill="1" applyBorder="1" applyAlignment="1">
      <alignment horizontal="right" vertical="center" wrapText="1"/>
    </xf>
    <xf numFmtId="2" fontId="11" fillId="2" borderId="11" xfId="0" applyNumberFormat="1" applyFont="1" applyFill="1" applyBorder="1" applyAlignment="1">
      <alignment horizontal="right" vertical="center" wrapText="1"/>
    </xf>
    <xf numFmtId="0" fontId="12" fillId="2" borderId="8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right" vertical="center" wrapText="1"/>
    </xf>
    <xf numFmtId="2" fontId="9" fillId="2" borderId="13" xfId="0" applyNumberFormat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 wrapText="1"/>
    </xf>
    <xf numFmtId="2" fontId="9" fillId="2" borderId="8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5" fillId="2" borderId="0" xfId="0" applyFont="1" applyFill="1"/>
    <xf numFmtId="2" fontId="8" fillId="2" borderId="0" xfId="0" applyNumberFormat="1" applyFont="1" applyFill="1"/>
    <xf numFmtId="0" fontId="9" fillId="0" borderId="23" xfId="0" applyFont="1" applyBorder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9" fillId="0" borderId="9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/>
    </xf>
    <xf numFmtId="2" fontId="9" fillId="0" borderId="12" xfId="0" applyNumberFormat="1" applyFont="1" applyBorder="1" applyAlignment="1">
      <alignment vertical="center"/>
    </xf>
    <xf numFmtId="2" fontId="9" fillId="2" borderId="1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right" vertical="center" wrapText="1"/>
    </xf>
    <xf numFmtId="1" fontId="9" fillId="0" borderId="36" xfId="0" applyNumberFormat="1" applyFont="1" applyBorder="1" applyAlignment="1">
      <alignment vertical="center"/>
    </xf>
    <xf numFmtId="1" fontId="9" fillId="0" borderId="37" xfId="0" applyNumberFormat="1" applyFont="1" applyBorder="1" applyAlignment="1">
      <alignment vertical="center"/>
    </xf>
    <xf numFmtId="1" fontId="9" fillId="2" borderId="15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vertical="center" wrapText="1"/>
    </xf>
    <xf numFmtId="1" fontId="9" fillId="0" borderId="39" xfId="0" applyNumberFormat="1" applyFont="1" applyBorder="1" applyAlignment="1">
      <alignment horizontal="right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right" vertical="center"/>
    </xf>
    <xf numFmtId="1" fontId="9" fillId="0" borderId="3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8" fillId="0" borderId="40" xfId="0" applyFont="1" applyBorder="1" applyAlignment="1">
      <alignment horizontal="right"/>
    </xf>
    <xf numFmtId="0" fontId="8" fillId="0" borderId="40" xfId="0" applyFont="1" applyBorder="1"/>
    <xf numFmtId="2" fontId="9" fillId="0" borderId="40" xfId="0" applyNumberFormat="1" applyFont="1" applyBorder="1" applyAlignment="1">
      <alignment horizontal="right" vertical="center"/>
    </xf>
    <xf numFmtId="1" fontId="9" fillId="0" borderId="16" xfId="0" applyNumberFormat="1" applyFont="1" applyBorder="1" applyAlignment="1">
      <alignment vertical="center"/>
    </xf>
    <xf numFmtId="1" fontId="9" fillId="0" borderId="41" xfId="0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right" vertical="center"/>
    </xf>
    <xf numFmtId="1" fontId="18" fillId="2" borderId="11" xfId="0" applyNumberFormat="1" applyFont="1" applyFill="1" applyBorder="1" applyAlignment="1">
      <alignment horizontal="right" vertical="center"/>
    </xf>
    <xf numFmtId="1" fontId="13" fillId="2" borderId="8" xfId="0" applyNumberFormat="1" applyFont="1" applyFill="1" applyBorder="1" applyAlignment="1">
      <alignment horizontal="right" vertical="center"/>
    </xf>
    <xf numFmtId="2" fontId="13" fillId="2" borderId="11" xfId="0" applyNumberFormat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horizontal="right" vertical="center" wrapText="1"/>
    </xf>
    <xf numFmtId="1" fontId="13" fillId="2" borderId="11" xfId="0" applyNumberFormat="1" applyFont="1" applyFill="1" applyBorder="1" applyAlignment="1">
      <alignment horizontal="right" vertical="center"/>
    </xf>
    <xf numFmtId="1" fontId="13" fillId="2" borderId="5" xfId="0" applyNumberFormat="1" applyFont="1" applyFill="1" applyBorder="1" applyAlignment="1">
      <alignment horizontal="right" vertical="center" wrapText="1"/>
    </xf>
    <xf numFmtId="1" fontId="18" fillId="2" borderId="8" xfId="0" applyNumberFormat="1" applyFont="1" applyFill="1" applyBorder="1" applyAlignment="1">
      <alignment horizontal="right" vertical="center"/>
    </xf>
    <xf numFmtId="1" fontId="13" fillId="2" borderId="5" xfId="0" applyNumberFormat="1" applyFont="1" applyFill="1" applyBorder="1" applyAlignment="1">
      <alignment horizontal="right" vertical="center"/>
    </xf>
    <xf numFmtId="2" fontId="13" fillId="2" borderId="11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/>
    </xf>
    <xf numFmtId="0" fontId="18" fillId="2" borderId="8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right" vertical="center" wrapText="1"/>
    </xf>
    <xf numFmtId="2" fontId="13" fillId="2" borderId="8" xfId="0" applyNumberFormat="1" applyFont="1" applyFill="1" applyBorder="1" applyAlignment="1">
      <alignment horizontal="right" vertical="center" wrapText="1"/>
    </xf>
    <xf numFmtId="2" fontId="13" fillId="2" borderId="17" xfId="0" applyNumberFormat="1" applyFont="1" applyFill="1" applyBorder="1" applyAlignment="1">
      <alignment horizontal="right" vertical="center"/>
    </xf>
    <xf numFmtId="2" fontId="13" fillId="2" borderId="15" xfId="0" applyNumberFormat="1" applyFont="1" applyFill="1" applyBorder="1" applyAlignment="1">
      <alignment horizontal="right" vertical="center"/>
    </xf>
    <xf numFmtId="2" fontId="13" fillId="2" borderId="8" xfId="0" applyNumberFormat="1" applyFont="1" applyFill="1" applyBorder="1" applyAlignment="1">
      <alignment horizontal="right" vertical="center"/>
    </xf>
    <xf numFmtId="2" fontId="13" fillId="2" borderId="5" xfId="0" applyNumberFormat="1" applyFont="1" applyFill="1" applyBorder="1" applyAlignment="1">
      <alignment horizontal="right" vertical="center" wrapText="1"/>
    </xf>
    <xf numFmtId="0" fontId="13" fillId="2" borderId="15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 vertical="center"/>
    </xf>
    <xf numFmtId="2" fontId="13" fillId="2" borderId="13" xfId="0" applyNumberFormat="1" applyFont="1" applyFill="1" applyBorder="1" applyAlignment="1">
      <alignment horizontal="right" vertical="center"/>
    </xf>
    <xf numFmtId="2" fontId="13" fillId="2" borderId="8" xfId="0" applyNumberFormat="1" applyFont="1" applyFill="1" applyBorder="1" applyAlignment="1">
      <alignment vertical="center"/>
    </xf>
    <xf numFmtId="1" fontId="13" fillId="2" borderId="15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0" fontId="19" fillId="0" borderId="0" xfId="0" applyFont="1"/>
    <xf numFmtId="0" fontId="19" fillId="2" borderId="0" xfId="0" applyFont="1" applyFill="1"/>
    <xf numFmtId="1" fontId="9" fillId="2" borderId="32" xfId="0" applyNumberFormat="1" applyFont="1" applyFill="1" applyBorder="1" applyAlignment="1">
      <alignment horizontal="right" vertical="center" wrapText="1"/>
    </xf>
    <xf numFmtId="1" fontId="13" fillId="2" borderId="32" xfId="0" applyNumberFormat="1" applyFont="1" applyFill="1" applyBorder="1" applyAlignment="1">
      <alignment horizontal="right" vertical="center" wrapText="1"/>
    </xf>
    <xf numFmtId="2" fontId="9" fillId="0" borderId="42" xfId="0" applyNumberFormat="1" applyFont="1" applyBorder="1" applyAlignment="1">
      <alignment horizontal="right" vertical="center"/>
    </xf>
    <xf numFmtId="1" fontId="9" fillId="2" borderId="2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Border="1" applyAlignment="1">
      <alignment vertical="center"/>
    </xf>
    <xf numFmtId="1" fontId="13" fillId="2" borderId="25" xfId="0" applyNumberFormat="1" applyFont="1" applyFill="1" applyBorder="1" applyAlignment="1">
      <alignment horizontal="right" vertical="center" wrapText="1"/>
    </xf>
    <xf numFmtId="1" fontId="13" fillId="2" borderId="8" xfId="0" applyNumberFormat="1" applyFont="1" applyFill="1" applyBorder="1" applyAlignment="1">
      <alignment horizontal="right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right" vertical="center"/>
    </xf>
    <xf numFmtId="1" fontId="13" fillId="0" borderId="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right" vertical="center" wrapText="1"/>
    </xf>
    <xf numFmtId="1" fontId="9" fillId="0" borderId="32" xfId="0" applyNumberFormat="1" applyFont="1" applyBorder="1" applyAlignment="1">
      <alignment horizontal="right" vertical="center" wrapText="1"/>
    </xf>
    <xf numFmtId="1" fontId="9" fillId="0" borderId="4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1" fillId="0" borderId="15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 wrapText="1"/>
    </xf>
    <xf numFmtId="1" fontId="19" fillId="0" borderId="0" xfId="0" applyNumberFormat="1" applyFont="1" applyAlignment="1">
      <alignment horizontal="right"/>
    </xf>
    <xf numFmtId="1" fontId="8" fillId="2" borderId="0" xfId="0" applyNumberFormat="1" applyFont="1" applyFill="1"/>
    <xf numFmtId="0" fontId="23" fillId="0" borderId="5" xfId="0" quotePrefix="1" applyFont="1" applyBorder="1" applyAlignment="1">
      <alignment horizontal="right" vertical="center" wrapText="1"/>
    </xf>
    <xf numFmtId="0" fontId="23" fillId="0" borderId="11" xfId="0" quotePrefix="1" applyFont="1" applyBorder="1" applyAlignment="1">
      <alignment horizontal="right" vertical="center" wrapText="1"/>
    </xf>
    <xf numFmtId="1" fontId="9" fillId="0" borderId="17" xfId="0" applyNumberFormat="1" applyFont="1" applyBorder="1" applyAlignment="1">
      <alignment horizontal="right" vertical="center" wrapText="1"/>
    </xf>
    <xf numFmtId="0" fontId="23" fillId="0" borderId="17" xfId="0" quotePrefix="1" applyFont="1" applyBorder="1" applyAlignment="1">
      <alignment horizontal="right" vertical="center" wrapText="1"/>
    </xf>
    <xf numFmtId="0" fontId="11" fillId="0" borderId="46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9" fillId="0" borderId="3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right" vertical="center" wrapText="1"/>
    </xf>
    <xf numFmtId="0" fontId="23" fillId="0" borderId="11" xfId="0" applyFont="1" applyBorder="1" applyAlignment="1">
      <alignment horizontal="right" vertical="center" wrapText="1"/>
    </xf>
    <xf numFmtId="1" fontId="10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2" borderId="8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 wrapText="1"/>
    </xf>
    <xf numFmtId="1" fontId="13" fillId="0" borderId="22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1" fontId="18" fillId="0" borderId="11" xfId="0" applyNumberFormat="1" applyFont="1" applyBorder="1" applyAlignment="1">
      <alignment horizontal="right" vertical="center"/>
    </xf>
    <xf numFmtId="1" fontId="18" fillId="0" borderId="12" xfId="0" applyNumberFormat="1" applyFont="1" applyBorder="1" applyAlignment="1">
      <alignment horizontal="right" vertical="center"/>
    </xf>
    <xf numFmtId="0" fontId="29" fillId="0" borderId="0" xfId="0" applyFont="1"/>
    <xf numFmtId="0" fontId="19" fillId="2" borderId="5" xfId="0" applyFont="1" applyFill="1" applyBorder="1" applyAlignment="1">
      <alignment horizontal="right" vertical="center" wrapText="1"/>
    </xf>
    <xf numFmtId="1" fontId="13" fillId="0" borderId="5" xfId="0" applyNumberFormat="1" applyFont="1" applyBorder="1" applyAlignment="1">
      <alignment horizontal="right" vertical="center" wrapText="1"/>
    </xf>
    <xf numFmtId="1" fontId="13" fillId="0" borderId="6" xfId="0" applyNumberFormat="1" applyFont="1" applyBorder="1" applyAlignment="1">
      <alignment horizontal="right" vertical="center" wrapText="1"/>
    </xf>
    <xf numFmtId="1" fontId="13" fillId="0" borderId="9" xfId="0" applyNumberFormat="1" applyFont="1" applyBorder="1" applyAlignment="1">
      <alignment horizontal="right" vertical="center"/>
    </xf>
    <xf numFmtId="0" fontId="19" fillId="2" borderId="5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 wrapText="1"/>
    </xf>
    <xf numFmtId="2" fontId="13" fillId="0" borderId="12" xfId="0" applyNumberFormat="1" applyFont="1" applyBorder="1" applyAlignment="1">
      <alignment horizontal="right" vertical="center" wrapText="1"/>
    </xf>
    <xf numFmtId="1" fontId="13" fillId="0" borderId="5" xfId="0" applyNumberFormat="1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right" vertical="center"/>
    </xf>
    <xf numFmtId="0" fontId="29" fillId="2" borderId="11" xfId="0" applyFont="1" applyFill="1" applyBorder="1" applyAlignment="1">
      <alignment horizontal="left" vertical="center" shrinkToFit="1"/>
    </xf>
    <xf numFmtId="1" fontId="13" fillId="0" borderId="8" xfId="0" applyNumberFormat="1" applyFont="1" applyBorder="1" applyAlignment="1">
      <alignment horizontal="righ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horizontal="right" vertical="center" wrapText="1"/>
    </xf>
    <xf numFmtId="1" fontId="13" fillId="2" borderId="6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13" fillId="2" borderId="6" xfId="0" applyFont="1" applyFill="1" applyBorder="1" applyAlignment="1">
      <alignment horizontal="right" vertical="center" wrapText="1"/>
    </xf>
    <xf numFmtId="1" fontId="13" fillId="0" borderId="11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left" vertical="center" wrapText="1"/>
    </xf>
    <xf numFmtId="0" fontId="29" fillId="2" borderId="32" xfId="0" applyFont="1" applyFill="1" applyBorder="1" applyAlignment="1">
      <alignment horizontal="right" vertical="center" wrapText="1"/>
    </xf>
    <xf numFmtId="1" fontId="13" fillId="0" borderId="32" xfId="0" applyNumberFormat="1" applyFont="1" applyBorder="1" applyAlignment="1">
      <alignment vertical="center"/>
    </xf>
    <xf numFmtId="1" fontId="13" fillId="0" borderId="43" xfId="0" applyNumberFormat="1" applyFont="1" applyBorder="1" applyAlignment="1">
      <alignment vertical="center"/>
    </xf>
    <xf numFmtId="1" fontId="13" fillId="0" borderId="33" xfId="0" applyNumberFormat="1" applyFont="1" applyBorder="1" applyAlignment="1">
      <alignment vertical="center"/>
    </xf>
    <xf numFmtId="0" fontId="13" fillId="0" borderId="6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9" fillId="2" borderId="7" xfId="0" applyFont="1" applyFill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right" vertical="center"/>
    </xf>
    <xf numFmtId="1" fontId="18" fillId="0" borderId="8" xfId="0" applyNumberFormat="1" applyFont="1" applyBorder="1" applyAlignment="1">
      <alignment horizontal="right" vertical="center"/>
    </xf>
    <xf numFmtId="1" fontId="18" fillId="0" borderId="9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right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right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 vertical="center" wrapText="1"/>
    </xf>
    <xf numFmtId="1" fontId="18" fillId="0" borderId="5" xfId="0" applyNumberFormat="1" applyFont="1" applyBorder="1" applyAlignment="1">
      <alignment horizontal="right" vertical="center" wrapText="1"/>
    </xf>
    <xf numFmtId="1" fontId="18" fillId="0" borderId="6" xfId="0" applyNumberFormat="1" applyFont="1" applyBorder="1" applyAlignment="1">
      <alignment horizontal="right" vertical="center" wrapText="1"/>
    </xf>
    <xf numFmtId="0" fontId="29" fillId="2" borderId="8" xfId="0" applyFont="1" applyFill="1" applyBorder="1" applyAlignment="1">
      <alignment horizontal="right" vertical="center" wrapText="1"/>
    </xf>
    <xf numFmtId="1" fontId="13" fillId="0" borderId="5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right" vertical="center" wrapText="1"/>
    </xf>
    <xf numFmtId="2" fontId="13" fillId="0" borderId="8" xfId="0" applyNumberFormat="1" applyFont="1" applyBorder="1" applyAlignment="1">
      <alignment horizontal="right" vertical="center" wrapText="1"/>
    </xf>
    <xf numFmtId="2" fontId="13" fillId="0" borderId="9" xfId="0" applyNumberFormat="1" applyFont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2" fontId="13" fillId="0" borderId="16" xfId="0" applyNumberFormat="1" applyFont="1" applyBorder="1" applyAlignment="1">
      <alignment horizontal="right" vertical="center"/>
    </xf>
    <xf numFmtId="2" fontId="13" fillId="0" borderId="8" xfId="0" applyNumberFormat="1" applyFont="1" applyBorder="1" applyAlignment="1">
      <alignment horizontal="right" vertical="center"/>
    </xf>
    <xf numFmtId="2" fontId="13" fillId="0" borderId="9" xfId="0" applyNumberFormat="1" applyFont="1" applyBorder="1" applyAlignment="1">
      <alignment horizontal="right" vertical="center"/>
    </xf>
    <xf numFmtId="0" fontId="22" fillId="2" borderId="8" xfId="0" applyFont="1" applyFill="1" applyBorder="1" applyAlignment="1">
      <alignment horizontal="left" vertical="top" wrapText="1"/>
    </xf>
    <xf numFmtId="2" fontId="13" fillId="0" borderId="5" xfId="0" applyNumberFormat="1" applyFont="1" applyBorder="1" applyAlignment="1">
      <alignment horizontal="right" vertical="center" wrapText="1"/>
    </xf>
    <xf numFmtId="2" fontId="13" fillId="0" borderId="6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22" fillId="2" borderId="8" xfId="0" applyFont="1" applyFill="1" applyBorder="1" applyAlignment="1">
      <alignment horizontal="right" vertical="center" wrapText="1"/>
    </xf>
    <xf numFmtId="0" fontId="22" fillId="2" borderId="15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22" fillId="2" borderId="11" xfId="0" applyFont="1" applyFill="1" applyBorder="1" applyAlignment="1">
      <alignment horizontal="right" vertical="center"/>
    </xf>
    <xf numFmtId="0" fontId="19" fillId="2" borderId="2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0" fontId="22" fillId="2" borderId="17" xfId="0" applyFont="1" applyFill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22" fillId="2" borderId="15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right" vertical="center" wrapText="1"/>
    </xf>
    <xf numFmtId="2" fontId="22" fillId="2" borderId="1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top" wrapText="1"/>
    </xf>
    <xf numFmtId="0" fontId="30" fillId="2" borderId="8" xfId="0" applyFont="1" applyFill="1" applyBorder="1" applyAlignment="1">
      <alignment horizontal="right" vertical="center"/>
    </xf>
    <xf numFmtId="0" fontId="19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right" vertical="center" wrapText="1"/>
    </xf>
    <xf numFmtId="2" fontId="13" fillId="0" borderId="17" xfId="0" applyNumberFormat="1" applyFont="1" applyBorder="1" applyAlignment="1">
      <alignment horizontal="right" vertical="center" wrapText="1"/>
    </xf>
    <xf numFmtId="2" fontId="13" fillId="0" borderId="21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0" fontId="22" fillId="2" borderId="26" xfId="0" applyFont="1" applyFill="1" applyBorder="1" applyAlignment="1">
      <alignment horizontal="right" vertical="center" wrapText="1"/>
    </xf>
    <xf numFmtId="2" fontId="13" fillId="0" borderId="8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vertical="center"/>
    </xf>
    <xf numFmtId="2" fontId="13" fillId="0" borderId="9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" fontId="13" fillId="0" borderId="23" xfId="0" applyNumberFormat="1" applyFont="1" applyBorder="1" applyAlignment="1">
      <alignment horizontal="right" vertical="center"/>
    </xf>
    <xf numFmtId="0" fontId="19" fillId="2" borderId="14" xfId="0" applyFont="1" applyFill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right" vertical="center" wrapText="1"/>
    </xf>
    <xf numFmtId="1" fontId="13" fillId="0" borderId="16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 vertical="center"/>
    </xf>
    <xf numFmtId="0" fontId="19" fillId="2" borderId="13" xfId="0" applyFont="1" applyFill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/>
    </xf>
    <xf numFmtId="0" fontId="19" fillId="2" borderId="15" xfId="0" applyFont="1" applyFill="1" applyBorder="1" applyAlignment="1">
      <alignment horizontal="right" vertical="center" wrapText="1"/>
    </xf>
    <xf numFmtId="2" fontId="13" fillId="0" borderId="15" xfId="0" applyNumberFormat="1" applyFont="1" applyBorder="1" applyAlignment="1">
      <alignment horizontal="right" vertical="center" wrapText="1"/>
    </xf>
    <xf numFmtId="2" fontId="13" fillId="0" borderId="16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13" fillId="0" borderId="0" xfId="0" applyFont="1"/>
    <xf numFmtId="0" fontId="19" fillId="0" borderId="0" xfId="0" applyFont="1" applyAlignment="1">
      <alignment horizontal="right" vertical="center" wrapText="1"/>
    </xf>
    <xf numFmtId="0" fontId="19" fillId="2" borderId="0" xfId="0" applyFont="1" applyFill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right" vertical="center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right" vertical="center" wrapText="1"/>
    </xf>
    <xf numFmtId="1" fontId="13" fillId="0" borderId="2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 wrapText="1"/>
    </xf>
    <xf numFmtId="2" fontId="13" fillId="0" borderId="32" xfId="0" applyNumberFormat="1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30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right" vertical="center" wrapText="1"/>
    </xf>
    <xf numFmtId="2" fontId="22" fillId="0" borderId="11" xfId="0" applyNumberFormat="1" applyFont="1" applyBorder="1" applyAlignment="1">
      <alignment horizontal="right" vertical="center" wrapText="1"/>
    </xf>
    <xf numFmtId="0" fontId="30" fillId="0" borderId="8" xfId="0" applyFont="1" applyBorder="1" applyAlignment="1">
      <alignment horizontal="right" vertical="center"/>
    </xf>
    <xf numFmtId="0" fontId="19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1" fontId="13" fillId="0" borderId="43" xfId="0" applyNumberFormat="1" applyFont="1" applyBorder="1" applyAlignment="1">
      <alignment horizontal="right" vertical="center" wrapText="1"/>
    </xf>
    <xf numFmtId="1" fontId="13" fillId="0" borderId="44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2" fontId="13" fillId="0" borderId="43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PML%20STAT/Worksheet/2019-20/Apr-2019%20to%20Sept.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P"/>
      <sheetName val="Apr19"/>
      <sheetName val="MayP"/>
      <sheetName val="May19"/>
      <sheetName val="JunP"/>
      <sheetName val="Jun19"/>
      <sheetName val="JlyP"/>
      <sheetName val="Jly19"/>
      <sheetName val="AugP"/>
      <sheetName val="Aug19"/>
      <sheetName val="Sheet1"/>
      <sheetName val="Sheet2"/>
      <sheetName val="SeptP"/>
      <sheetName val="Sept19"/>
      <sheetName val="Sheet3"/>
      <sheetName val="Sheet4"/>
      <sheetName val="Sheet5"/>
    </sheetNames>
    <sheetDataSet>
      <sheetData sheetId="0"/>
      <sheetData sheetId="1">
        <row r="34">
          <cell r="AK34">
            <v>132</v>
          </cell>
          <cell r="AL34">
            <v>5414113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2"/>
  <sheetViews>
    <sheetView zoomScale="130" zoomScaleNormal="130" zoomScaleSheetLayoutView="85" workbookViewId="0">
      <selection activeCell="I106" sqref="I106"/>
    </sheetView>
  </sheetViews>
  <sheetFormatPr defaultRowHeight="14.25"/>
  <cols>
    <col min="1" max="1" width="3.7109375" style="31" customWidth="1"/>
    <col min="2" max="2" width="27.28515625" style="154" customWidth="1"/>
    <col min="3" max="3" width="7.140625" style="31" customWidth="1"/>
    <col min="4" max="4" width="10.7109375" style="31" customWidth="1"/>
    <col min="5" max="5" width="10.42578125" style="31" customWidth="1"/>
    <col min="6" max="6" width="10.5703125" style="31" customWidth="1"/>
    <col min="7" max="7" width="10.42578125" style="31" customWidth="1"/>
    <col min="8" max="10" width="10.5703125" style="31" customWidth="1"/>
    <col min="11" max="13" width="10.42578125" style="31" customWidth="1"/>
    <col min="14" max="14" width="10.5703125" style="31" customWidth="1"/>
    <col min="15" max="15" width="10.28515625" style="31" customWidth="1"/>
    <col min="16" max="16" width="10.140625" style="31" customWidth="1"/>
    <col min="17" max="17" width="11.7109375" style="31" customWidth="1"/>
    <col min="18" max="18" width="13.28515625" style="31" customWidth="1"/>
    <col min="19" max="19" width="11.7109375" style="163" customWidth="1"/>
    <col min="20" max="20" width="9.140625" style="31" customWidth="1"/>
    <col min="21" max="255" width="9.140625" style="31"/>
    <col min="256" max="256" width="3.7109375" style="31" customWidth="1"/>
    <col min="257" max="257" width="30.42578125" style="31" customWidth="1"/>
    <col min="258" max="258" width="7.140625" style="31" customWidth="1"/>
    <col min="259" max="259" width="10.7109375" style="31" customWidth="1"/>
    <col min="260" max="260" width="10.42578125" style="31" customWidth="1"/>
    <col min="261" max="261" width="10.5703125" style="31" customWidth="1"/>
    <col min="262" max="262" width="10.42578125" style="31" customWidth="1"/>
    <col min="263" max="265" width="10.5703125" style="31" customWidth="1"/>
    <col min="266" max="268" width="10.42578125" style="31" customWidth="1"/>
    <col min="269" max="269" width="10.5703125" style="31" customWidth="1"/>
    <col min="270" max="270" width="10.28515625" style="31" customWidth="1"/>
    <col min="271" max="271" width="10.140625" style="31" customWidth="1"/>
    <col min="272" max="272" width="11.7109375" style="31" customWidth="1"/>
    <col min="273" max="273" width="12.42578125" style="31" customWidth="1"/>
    <col min="274" max="274" width="11.7109375" style="31" customWidth="1"/>
    <col min="275" max="275" width="13.140625" style="31" customWidth="1"/>
    <col min="276" max="511" width="9.140625" style="31"/>
    <col min="512" max="512" width="3.7109375" style="31" customWidth="1"/>
    <col min="513" max="513" width="30.42578125" style="31" customWidth="1"/>
    <col min="514" max="514" width="7.140625" style="31" customWidth="1"/>
    <col min="515" max="515" width="10.7109375" style="31" customWidth="1"/>
    <col min="516" max="516" width="10.42578125" style="31" customWidth="1"/>
    <col min="517" max="517" width="10.5703125" style="31" customWidth="1"/>
    <col min="518" max="518" width="10.42578125" style="31" customWidth="1"/>
    <col min="519" max="521" width="10.5703125" style="31" customWidth="1"/>
    <col min="522" max="524" width="10.42578125" style="31" customWidth="1"/>
    <col min="525" max="525" width="10.5703125" style="31" customWidth="1"/>
    <col min="526" max="526" width="10.28515625" style="31" customWidth="1"/>
    <col min="527" max="527" width="10.140625" style="31" customWidth="1"/>
    <col min="528" max="528" width="11.7109375" style="31" customWidth="1"/>
    <col min="529" max="529" width="12.42578125" style="31" customWidth="1"/>
    <col min="530" max="530" width="11.7109375" style="31" customWidth="1"/>
    <col min="531" max="531" width="13.140625" style="31" customWidth="1"/>
    <col min="532" max="767" width="9.140625" style="31"/>
    <col min="768" max="768" width="3.7109375" style="31" customWidth="1"/>
    <col min="769" max="769" width="30.42578125" style="31" customWidth="1"/>
    <col min="770" max="770" width="7.140625" style="31" customWidth="1"/>
    <col min="771" max="771" width="10.7109375" style="31" customWidth="1"/>
    <col min="772" max="772" width="10.42578125" style="31" customWidth="1"/>
    <col min="773" max="773" width="10.5703125" style="31" customWidth="1"/>
    <col min="774" max="774" width="10.42578125" style="31" customWidth="1"/>
    <col min="775" max="777" width="10.5703125" style="31" customWidth="1"/>
    <col min="778" max="780" width="10.42578125" style="31" customWidth="1"/>
    <col min="781" max="781" width="10.5703125" style="31" customWidth="1"/>
    <col min="782" max="782" width="10.28515625" style="31" customWidth="1"/>
    <col min="783" max="783" width="10.140625" style="31" customWidth="1"/>
    <col min="784" max="784" width="11.7109375" style="31" customWidth="1"/>
    <col min="785" max="785" width="12.42578125" style="31" customWidth="1"/>
    <col min="786" max="786" width="11.7109375" style="31" customWidth="1"/>
    <col min="787" max="787" width="13.140625" style="31" customWidth="1"/>
    <col min="788" max="1023" width="9.140625" style="31"/>
    <col min="1024" max="1024" width="3.7109375" style="31" customWidth="1"/>
    <col min="1025" max="1025" width="30.42578125" style="31" customWidth="1"/>
    <col min="1026" max="1026" width="7.140625" style="31" customWidth="1"/>
    <col min="1027" max="1027" width="10.7109375" style="31" customWidth="1"/>
    <col min="1028" max="1028" width="10.42578125" style="31" customWidth="1"/>
    <col min="1029" max="1029" width="10.5703125" style="31" customWidth="1"/>
    <col min="1030" max="1030" width="10.42578125" style="31" customWidth="1"/>
    <col min="1031" max="1033" width="10.5703125" style="31" customWidth="1"/>
    <col min="1034" max="1036" width="10.42578125" style="31" customWidth="1"/>
    <col min="1037" max="1037" width="10.5703125" style="31" customWidth="1"/>
    <col min="1038" max="1038" width="10.28515625" style="31" customWidth="1"/>
    <col min="1039" max="1039" width="10.140625" style="31" customWidth="1"/>
    <col min="1040" max="1040" width="11.7109375" style="31" customWidth="1"/>
    <col min="1041" max="1041" width="12.42578125" style="31" customWidth="1"/>
    <col min="1042" max="1042" width="11.7109375" style="31" customWidth="1"/>
    <col min="1043" max="1043" width="13.140625" style="31" customWidth="1"/>
    <col min="1044" max="1279" width="9.140625" style="31"/>
    <col min="1280" max="1280" width="3.7109375" style="31" customWidth="1"/>
    <col min="1281" max="1281" width="30.42578125" style="31" customWidth="1"/>
    <col min="1282" max="1282" width="7.140625" style="31" customWidth="1"/>
    <col min="1283" max="1283" width="10.7109375" style="31" customWidth="1"/>
    <col min="1284" max="1284" width="10.42578125" style="31" customWidth="1"/>
    <col min="1285" max="1285" width="10.5703125" style="31" customWidth="1"/>
    <col min="1286" max="1286" width="10.42578125" style="31" customWidth="1"/>
    <col min="1287" max="1289" width="10.5703125" style="31" customWidth="1"/>
    <col min="1290" max="1292" width="10.42578125" style="31" customWidth="1"/>
    <col min="1293" max="1293" width="10.5703125" style="31" customWidth="1"/>
    <col min="1294" max="1294" width="10.28515625" style="31" customWidth="1"/>
    <col min="1295" max="1295" width="10.140625" style="31" customWidth="1"/>
    <col min="1296" max="1296" width="11.7109375" style="31" customWidth="1"/>
    <col min="1297" max="1297" width="12.42578125" style="31" customWidth="1"/>
    <col min="1298" max="1298" width="11.7109375" style="31" customWidth="1"/>
    <col min="1299" max="1299" width="13.140625" style="31" customWidth="1"/>
    <col min="1300" max="1535" width="9.140625" style="31"/>
    <col min="1536" max="1536" width="3.7109375" style="31" customWidth="1"/>
    <col min="1537" max="1537" width="30.42578125" style="31" customWidth="1"/>
    <col min="1538" max="1538" width="7.140625" style="31" customWidth="1"/>
    <col min="1539" max="1539" width="10.7109375" style="31" customWidth="1"/>
    <col min="1540" max="1540" width="10.42578125" style="31" customWidth="1"/>
    <col min="1541" max="1541" width="10.5703125" style="31" customWidth="1"/>
    <col min="1542" max="1542" width="10.42578125" style="31" customWidth="1"/>
    <col min="1543" max="1545" width="10.5703125" style="31" customWidth="1"/>
    <col min="1546" max="1548" width="10.42578125" style="31" customWidth="1"/>
    <col min="1549" max="1549" width="10.5703125" style="31" customWidth="1"/>
    <col min="1550" max="1550" width="10.28515625" style="31" customWidth="1"/>
    <col min="1551" max="1551" width="10.140625" style="31" customWidth="1"/>
    <col min="1552" max="1552" width="11.7109375" style="31" customWidth="1"/>
    <col min="1553" max="1553" width="12.42578125" style="31" customWidth="1"/>
    <col min="1554" max="1554" width="11.7109375" style="31" customWidth="1"/>
    <col min="1555" max="1555" width="13.140625" style="31" customWidth="1"/>
    <col min="1556" max="1791" width="9.140625" style="31"/>
    <col min="1792" max="1792" width="3.7109375" style="31" customWidth="1"/>
    <col min="1793" max="1793" width="30.42578125" style="31" customWidth="1"/>
    <col min="1794" max="1794" width="7.140625" style="31" customWidth="1"/>
    <col min="1795" max="1795" width="10.7109375" style="31" customWidth="1"/>
    <col min="1796" max="1796" width="10.42578125" style="31" customWidth="1"/>
    <col min="1797" max="1797" width="10.5703125" style="31" customWidth="1"/>
    <col min="1798" max="1798" width="10.42578125" style="31" customWidth="1"/>
    <col min="1799" max="1801" width="10.5703125" style="31" customWidth="1"/>
    <col min="1802" max="1804" width="10.42578125" style="31" customWidth="1"/>
    <col min="1805" max="1805" width="10.5703125" style="31" customWidth="1"/>
    <col min="1806" max="1806" width="10.28515625" style="31" customWidth="1"/>
    <col min="1807" max="1807" width="10.140625" style="31" customWidth="1"/>
    <col min="1808" max="1808" width="11.7109375" style="31" customWidth="1"/>
    <col min="1809" max="1809" width="12.42578125" style="31" customWidth="1"/>
    <col min="1810" max="1810" width="11.7109375" style="31" customWidth="1"/>
    <col min="1811" max="1811" width="13.140625" style="31" customWidth="1"/>
    <col min="1812" max="2047" width="9.140625" style="31"/>
    <col min="2048" max="2048" width="3.7109375" style="31" customWidth="1"/>
    <col min="2049" max="2049" width="30.42578125" style="31" customWidth="1"/>
    <col min="2050" max="2050" width="7.140625" style="31" customWidth="1"/>
    <col min="2051" max="2051" width="10.7109375" style="31" customWidth="1"/>
    <col min="2052" max="2052" width="10.42578125" style="31" customWidth="1"/>
    <col min="2053" max="2053" width="10.5703125" style="31" customWidth="1"/>
    <col min="2054" max="2054" width="10.42578125" style="31" customWidth="1"/>
    <col min="2055" max="2057" width="10.5703125" style="31" customWidth="1"/>
    <col min="2058" max="2060" width="10.42578125" style="31" customWidth="1"/>
    <col min="2061" max="2061" width="10.5703125" style="31" customWidth="1"/>
    <col min="2062" max="2062" width="10.28515625" style="31" customWidth="1"/>
    <col min="2063" max="2063" width="10.140625" style="31" customWidth="1"/>
    <col min="2064" max="2064" width="11.7109375" style="31" customWidth="1"/>
    <col min="2065" max="2065" width="12.42578125" style="31" customWidth="1"/>
    <col min="2066" max="2066" width="11.7109375" style="31" customWidth="1"/>
    <col min="2067" max="2067" width="13.140625" style="31" customWidth="1"/>
    <col min="2068" max="2303" width="9.140625" style="31"/>
    <col min="2304" max="2304" width="3.7109375" style="31" customWidth="1"/>
    <col min="2305" max="2305" width="30.42578125" style="31" customWidth="1"/>
    <col min="2306" max="2306" width="7.140625" style="31" customWidth="1"/>
    <col min="2307" max="2307" width="10.7109375" style="31" customWidth="1"/>
    <col min="2308" max="2308" width="10.42578125" style="31" customWidth="1"/>
    <col min="2309" max="2309" width="10.5703125" style="31" customWidth="1"/>
    <col min="2310" max="2310" width="10.42578125" style="31" customWidth="1"/>
    <col min="2311" max="2313" width="10.5703125" style="31" customWidth="1"/>
    <col min="2314" max="2316" width="10.42578125" style="31" customWidth="1"/>
    <col min="2317" max="2317" width="10.5703125" style="31" customWidth="1"/>
    <col min="2318" max="2318" width="10.28515625" style="31" customWidth="1"/>
    <col min="2319" max="2319" width="10.140625" style="31" customWidth="1"/>
    <col min="2320" max="2320" width="11.7109375" style="31" customWidth="1"/>
    <col min="2321" max="2321" width="12.42578125" style="31" customWidth="1"/>
    <col min="2322" max="2322" width="11.7109375" style="31" customWidth="1"/>
    <col min="2323" max="2323" width="13.140625" style="31" customWidth="1"/>
    <col min="2324" max="2559" width="9.140625" style="31"/>
    <col min="2560" max="2560" width="3.7109375" style="31" customWidth="1"/>
    <col min="2561" max="2561" width="30.42578125" style="31" customWidth="1"/>
    <col min="2562" max="2562" width="7.140625" style="31" customWidth="1"/>
    <col min="2563" max="2563" width="10.7109375" style="31" customWidth="1"/>
    <col min="2564" max="2564" width="10.42578125" style="31" customWidth="1"/>
    <col min="2565" max="2565" width="10.5703125" style="31" customWidth="1"/>
    <col min="2566" max="2566" width="10.42578125" style="31" customWidth="1"/>
    <col min="2567" max="2569" width="10.5703125" style="31" customWidth="1"/>
    <col min="2570" max="2572" width="10.42578125" style="31" customWidth="1"/>
    <col min="2573" max="2573" width="10.5703125" style="31" customWidth="1"/>
    <col min="2574" max="2574" width="10.28515625" style="31" customWidth="1"/>
    <col min="2575" max="2575" width="10.140625" style="31" customWidth="1"/>
    <col min="2576" max="2576" width="11.7109375" style="31" customWidth="1"/>
    <col min="2577" max="2577" width="12.42578125" style="31" customWidth="1"/>
    <col min="2578" max="2578" width="11.7109375" style="31" customWidth="1"/>
    <col min="2579" max="2579" width="13.140625" style="31" customWidth="1"/>
    <col min="2580" max="2815" width="9.140625" style="31"/>
    <col min="2816" max="2816" width="3.7109375" style="31" customWidth="1"/>
    <col min="2817" max="2817" width="30.42578125" style="31" customWidth="1"/>
    <col min="2818" max="2818" width="7.140625" style="31" customWidth="1"/>
    <col min="2819" max="2819" width="10.7109375" style="31" customWidth="1"/>
    <col min="2820" max="2820" width="10.42578125" style="31" customWidth="1"/>
    <col min="2821" max="2821" width="10.5703125" style="31" customWidth="1"/>
    <col min="2822" max="2822" width="10.42578125" style="31" customWidth="1"/>
    <col min="2823" max="2825" width="10.5703125" style="31" customWidth="1"/>
    <col min="2826" max="2828" width="10.42578125" style="31" customWidth="1"/>
    <col min="2829" max="2829" width="10.5703125" style="31" customWidth="1"/>
    <col min="2830" max="2830" width="10.28515625" style="31" customWidth="1"/>
    <col min="2831" max="2831" width="10.140625" style="31" customWidth="1"/>
    <col min="2832" max="2832" width="11.7109375" style="31" customWidth="1"/>
    <col min="2833" max="2833" width="12.42578125" style="31" customWidth="1"/>
    <col min="2834" max="2834" width="11.7109375" style="31" customWidth="1"/>
    <col min="2835" max="2835" width="13.140625" style="31" customWidth="1"/>
    <col min="2836" max="3071" width="9.140625" style="31"/>
    <col min="3072" max="3072" width="3.7109375" style="31" customWidth="1"/>
    <col min="3073" max="3073" width="30.42578125" style="31" customWidth="1"/>
    <col min="3074" max="3074" width="7.140625" style="31" customWidth="1"/>
    <col min="3075" max="3075" width="10.7109375" style="31" customWidth="1"/>
    <col min="3076" max="3076" width="10.42578125" style="31" customWidth="1"/>
    <col min="3077" max="3077" width="10.5703125" style="31" customWidth="1"/>
    <col min="3078" max="3078" width="10.42578125" style="31" customWidth="1"/>
    <col min="3079" max="3081" width="10.5703125" style="31" customWidth="1"/>
    <col min="3082" max="3084" width="10.42578125" style="31" customWidth="1"/>
    <col min="3085" max="3085" width="10.5703125" style="31" customWidth="1"/>
    <col min="3086" max="3086" width="10.28515625" style="31" customWidth="1"/>
    <col min="3087" max="3087" width="10.140625" style="31" customWidth="1"/>
    <col min="3088" max="3088" width="11.7109375" style="31" customWidth="1"/>
    <col min="3089" max="3089" width="12.42578125" style="31" customWidth="1"/>
    <col min="3090" max="3090" width="11.7109375" style="31" customWidth="1"/>
    <col min="3091" max="3091" width="13.140625" style="31" customWidth="1"/>
    <col min="3092" max="3327" width="9.140625" style="31"/>
    <col min="3328" max="3328" width="3.7109375" style="31" customWidth="1"/>
    <col min="3329" max="3329" width="30.42578125" style="31" customWidth="1"/>
    <col min="3330" max="3330" width="7.140625" style="31" customWidth="1"/>
    <col min="3331" max="3331" width="10.7109375" style="31" customWidth="1"/>
    <col min="3332" max="3332" width="10.42578125" style="31" customWidth="1"/>
    <col min="3333" max="3333" width="10.5703125" style="31" customWidth="1"/>
    <col min="3334" max="3334" width="10.42578125" style="31" customWidth="1"/>
    <col min="3335" max="3337" width="10.5703125" style="31" customWidth="1"/>
    <col min="3338" max="3340" width="10.42578125" style="31" customWidth="1"/>
    <col min="3341" max="3341" width="10.5703125" style="31" customWidth="1"/>
    <col min="3342" max="3342" width="10.28515625" style="31" customWidth="1"/>
    <col min="3343" max="3343" width="10.140625" style="31" customWidth="1"/>
    <col min="3344" max="3344" width="11.7109375" style="31" customWidth="1"/>
    <col min="3345" max="3345" width="12.42578125" style="31" customWidth="1"/>
    <col min="3346" max="3346" width="11.7109375" style="31" customWidth="1"/>
    <col min="3347" max="3347" width="13.140625" style="31" customWidth="1"/>
    <col min="3348" max="3583" width="9.140625" style="31"/>
    <col min="3584" max="3584" width="3.7109375" style="31" customWidth="1"/>
    <col min="3585" max="3585" width="30.42578125" style="31" customWidth="1"/>
    <col min="3586" max="3586" width="7.140625" style="31" customWidth="1"/>
    <col min="3587" max="3587" width="10.7109375" style="31" customWidth="1"/>
    <col min="3588" max="3588" width="10.42578125" style="31" customWidth="1"/>
    <col min="3589" max="3589" width="10.5703125" style="31" customWidth="1"/>
    <col min="3590" max="3590" width="10.42578125" style="31" customWidth="1"/>
    <col min="3591" max="3593" width="10.5703125" style="31" customWidth="1"/>
    <col min="3594" max="3596" width="10.42578125" style="31" customWidth="1"/>
    <col min="3597" max="3597" width="10.5703125" style="31" customWidth="1"/>
    <col min="3598" max="3598" width="10.28515625" style="31" customWidth="1"/>
    <col min="3599" max="3599" width="10.140625" style="31" customWidth="1"/>
    <col min="3600" max="3600" width="11.7109375" style="31" customWidth="1"/>
    <col min="3601" max="3601" width="12.42578125" style="31" customWidth="1"/>
    <col min="3602" max="3602" width="11.7109375" style="31" customWidth="1"/>
    <col min="3603" max="3603" width="13.140625" style="31" customWidth="1"/>
    <col min="3604" max="3839" width="9.140625" style="31"/>
    <col min="3840" max="3840" width="3.7109375" style="31" customWidth="1"/>
    <col min="3841" max="3841" width="30.42578125" style="31" customWidth="1"/>
    <col min="3842" max="3842" width="7.140625" style="31" customWidth="1"/>
    <col min="3843" max="3843" width="10.7109375" style="31" customWidth="1"/>
    <col min="3844" max="3844" width="10.42578125" style="31" customWidth="1"/>
    <col min="3845" max="3845" width="10.5703125" style="31" customWidth="1"/>
    <col min="3846" max="3846" width="10.42578125" style="31" customWidth="1"/>
    <col min="3847" max="3849" width="10.5703125" style="31" customWidth="1"/>
    <col min="3850" max="3852" width="10.42578125" style="31" customWidth="1"/>
    <col min="3853" max="3853" width="10.5703125" style="31" customWidth="1"/>
    <col min="3854" max="3854" width="10.28515625" style="31" customWidth="1"/>
    <col min="3855" max="3855" width="10.140625" style="31" customWidth="1"/>
    <col min="3856" max="3856" width="11.7109375" style="31" customWidth="1"/>
    <col min="3857" max="3857" width="12.42578125" style="31" customWidth="1"/>
    <col min="3858" max="3858" width="11.7109375" style="31" customWidth="1"/>
    <col min="3859" max="3859" width="13.140625" style="31" customWidth="1"/>
    <col min="3860" max="4095" width="9.140625" style="31"/>
    <col min="4096" max="4096" width="3.7109375" style="31" customWidth="1"/>
    <col min="4097" max="4097" width="30.42578125" style="31" customWidth="1"/>
    <col min="4098" max="4098" width="7.140625" style="31" customWidth="1"/>
    <col min="4099" max="4099" width="10.7109375" style="31" customWidth="1"/>
    <col min="4100" max="4100" width="10.42578125" style="31" customWidth="1"/>
    <col min="4101" max="4101" width="10.5703125" style="31" customWidth="1"/>
    <col min="4102" max="4102" width="10.42578125" style="31" customWidth="1"/>
    <col min="4103" max="4105" width="10.5703125" style="31" customWidth="1"/>
    <col min="4106" max="4108" width="10.42578125" style="31" customWidth="1"/>
    <col min="4109" max="4109" width="10.5703125" style="31" customWidth="1"/>
    <col min="4110" max="4110" width="10.28515625" style="31" customWidth="1"/>
    <col min="4111" max="4111" width="10.140625" style="31" customWidth="1"/>
    <col min="4112" max="4112" width="11.7109375" style="31" customWidth="1"/>
    <col min="4113" max="4113" width="12.42578125" style="31" customWidth="1"/>
    <col min="4114" max="4114" width="11.7109375" style="31" customWidth="1"/>
    <col min="4115" max="4115" width="13.140625" style="31" customWidth="1"/>
    <col min="4116" max="4351" width="9.140625" style="31"/>
    <col min="4352" max="4352" width="3.7109375" style="31" customWidth="1"/>
    <col min="4353" max="4353" width="30.42578125" style="31" customWidth="1"/>
    <col min="4354" max="4354" width="7.140625" style="31" customWidth="1"/>
    <col min="4355" max="4355" width="10.7109375" style="31" customWidth="1"/>
    <col min="4356" max="4356" width="10.42578125" style="31" customWidth="1"/>
    <col min="4357" max="4357" width="10.5703125" style="31" customWidth="1"/>
    <col min="4358" max="4358" width="10.42578125" style="31" customWidth="1"/>
    <col min="4359" max="4361" width="10.5703125" style="31" customWidth="1"/>
    <col min="4362" max="4364" width="10.42578125" style="31" customWidth="1"/>
    <col min="4365" max="4365" width="10.5703125" style="31" customWidth="1"/>
    <col min="4366" max="4366" width="10.28515625" style="31" customWidth="1"/>
    <col min="4367" max="4367" width="10.140625" style="31" customWidth="1"/>
    <col min="4368" max="4368" width="11.7109375" style="31" customWidth="1"/>
    <col min="4369" max="4369" width="12.42578125" style="31" customWidth="1"/>
    <col min="4370" max="4370" width="11.7109375" style="31" customWidth="1"/>
    <col min="4371" max="4371" width="13.140625" style="31" customWidth="1"/>
    <col min="4372" max="4607" width="9.140625" style="31"/>
    <col min="4608" max="4608" width="3.7109375" style="31" customWidth="1"/>
    <col min="4609" max="4609" width="30.42578125" style="31" customWidth="1"/>
    <col min="4610" max="4610" width="7.140625" style="31" customWidth="1"/>
    <col min="4611" max="4611" width="10.7109375" style="31" customWidth="1"/>
    <col min="4612" max="4612" width="10.42578125" style="31" customWidth="1"/>
    <col min="4613" max="4613" width="10.5703125" style="31" customWidth="1"/>
    <col min="4614" max="4614" width="10.42578125" style="31" customWidth="1"/>
    <col min="4615" max="4617" width="10.5703125" style="31" customWidth="1"/>
    <col min="4618" max="4620" width="10.42578125" style="31" customWidth="1"/>
    <col min="4621" max="4621" width="10.5703125" style="31" customWidth="1"/>
    <col min="4622" max="4622" width="10.28515625" style="31" customWidth="1"/>
    <col min="4623" max="4623" width="10.140625" style="31" customWidth="1"/>
    <col min="4624" max="4624" width="11.7109375" style="31" customWidth="1"/>
    <col min="4625" max="4625" width="12.42578125" style="31" customWidth="1"/>
    <col min="4626" max="4626" width="11.7109375" style="31" customWidth="1"/>
    <col min="4627" max="4627" width="13.140625" style="31" customWidth="1"/>
    <col min="4628" max="4863" width="9.140625" style="31"/>
    <col min="4864" max="4864" width="3.7109375" style="31" customWidth="1"/>
    <col min="4865" max="4865" width="30.42578125" style="31" customWidth="1"/>
    <col min="4866" max="4866" width="7.140625" style="31" customWidth="1"/>
    <col min="4867" max="4867" width="10.7109375" style="31" customWidth="1"/>
    <col min="4868" max="4868" width="10.42578125" style="31" customWidth="1"/>
    <col min="4869" max="4869" width="10.5703125" style="31" customWidth="1"/>
    <col min="4870" max="4870" width="10.42578125" style="31" customWidth="1"/>
    <col min="4871" max="4873" width="10.5703125" style="31" customWidth="1"/>
    <col min="4874" max="4876" width="10.42578125" style="31" customWidth="1"/>
    <col min="4877" max="4877" width="10.5703125" style="31" customWidth="1"/>
    <col min="4878" max="4878" width="10.28515625" style="31" customWidth="1"/>
    <col min="4879" max="4879" width="10.140625" style="31" customWidth="1"/>
    <col min="4880" max="4880" width="11.7109375" style="31" customWidth="1"/>
    <col min="4881" max="4881" width="12.42578125" style="31" customWidth="1"/>
    <col min="4882" max="4882" width="11.7109375" style="31" customWidth="1"/>
    <col min="4883" max="4883" width="13.140625" style="31" customWidth="1"/>
    <col min="4884" max="5119" width="9.140625" style="31"/>
    <col min="5120" max="5120" width="3.7109375" style="31" customWidth="1"/>
    <col min="5121" max="5121" width="30.42578125" style="31" customWidth="1"/>
    <col min="5122" max="5122" width="7.140625" style="31" customWidth="1"/>
    <col min="5123" max="5123" width="10.7109375" style="31" customWidth="1"/>
    <col min="5124" max="5124" width="10.42578125" style="31" customWidth="1"/>
    <col min="5125" max="5125" width="10.5703125" style="31" customWidth="1"/>
    <col min="5126" max="5126" width="10.42578125" style="31" customWidth="1"/>
    <col min="5127" max="5129" width="10.5703125" style="31" customWidth="1"/>
    <col min="5130" max="5132" width="10.42578125" style="31" customWidth="1"/>
    <col min="5133" max="5133" width="10.5703125" style="31" customWidth="1"/>
    <col min="5134" max="5134" width="10.28515625" style="31" customWidth="1"/>
    <col min="5135" max="5135" width="10.140625" style="31" customWidth="1"/>
    <col min="5136" max="5136" width="11.7109375" style="31" customWidth="1"/>
    <col min="5137" max="5137" width="12.42578125" style="31" customWidth="1"/>
    <col min="5138" max="5138" width="11.7109375" style="31" customWidth="1"/>
    <col min="5139" max="5139" width="13.140625" style="31" customWidth="1"/>
    <col min="5140" max="5375" width="9.140625" style="31"/>
    <col min="5376" max="5376" width="3.7109375" style="31" customWidth="1"/>
    <col min="5377" max="5377" width="30.42578125" style="31" customWidth="1"/>
    <col min="5378" max="5378" width="7.140625" style="31" customWidth="1"/>
    <col min="5379" max="5379" width="10.7109375" style="31" customWidth="1"/>
    <col min="5380" max="5380" width="10.42578125" style="31" customWidth="1"/>
    <col min="5381" max="5381" width="10.5703125" style="31" customWidth="1"/>
    <col min="5382" max="5382" width="10.42578125" style="31" customWidth="1"/>
    <col min="5383" max="5385" width="10.5703125" style="31" customWidth="1"/>
    <col min="5386" max="5388" width="10.42578125" style="31" customWidth="1"/>
    <col min="5389" max="5389" width="10.5703125" style="31" customWidth="1"/>
    <col min="5390" max="5390" width="10.28515625" style="31" customWidth="1"/>
    <col min="5391" max="5391" width="10.140625" style="31" customWidth="1"/>
    <col min="5392" max="5392" width="11.7109375" style="31" customWidth="1"/>
    <col min="5393" max="5393" width="12.42578125" style="31" customWidth="1"/>
    <col min="5394" max="5394" width="11.7109375" style="31" customWidth="1"/>
    <col min="5395" max="5395" width="13.140625" style="31" customWidth="1"/>
    <col min="5396" max="5631" width="9.140625" style="31"/>
    <col min="5632" max="5632" width="3.7109375" style="31" customWidth="1"/>
    <col min="5633" max="5633" width="30.42578125" style="31" customWidth="1"/>
    <col min="5634" max="5634" width="7.140625" style="31" customWidth="1"/>
    <col min="5635" max="5635" width="10.7109375" style="31" customWidth="1"/>
    <col min="5636" max="5636" width="10.42578125" style="31" customWidth="1"/>
    <col min="5637" max="5637" width="10.5703125" style="31" customWidth="1"/>
    <col min="5638" max="5638" width="10.42578125" style="31" customWidth="1"/>
    <col min="5639" max="5641" width="10.5703125" style="31" customWidth="1"/>
    <col min="5642" max="5644" width="10.42578125" style="31" customWidth="1"/>
    <col min="5645" max="5645" width="10.5703125" style="31" customWidth="1"/>
    <col min="5646" max="5646" width="10.28515625" style="31" customWidth="1"/>
    <col min="5647" max="5647" width="10.140625" style="31" customWidth="1"/>
    <col min="5648" max="5648" width="11.7109375" style="31" customWidth="1"/>
    <col min="5649" max="5649" width="12.42578125" style="31" customWidth="1"/>
    <col min="5650" max="5650" width="11.7109375" style="31" customWidth="1"/>
    <col min="5651" max="5651" width="13.140625" style="31" customWidth="1"/>
    <col min="5652" max="5887" width="9.140625" style="31"/>
    <col min="5888" max="5888" width="3.7109375" style="31" customWidth="1"/>
    <col min="5889" max="5889" width="30.42578125" style="31" customWidth="1"/>
    <col min="5890" max="5890" width="7.140625" style="31" customWidth="1"/>
    <col min="5891" max="5891" width="10.7109375" style="31" customWidth="1"/>
    <col min="5892" max="5892" width="10.42578125" style="31" customWidth="1"/>
    <col min="5893" max="5893" width="10.5703125" style="31" customWidth="1"/>
    <col min="5894" max="5894" width="10.42578125" style="31" customWidth="1"/>
    <col min="5895" max="5897" width="10.5703125" style="31" customWidth="1"/>
    <col min="5898" max="5900" width="10.42578125" style="31" customWidth="1"/>
    <col min="5901" max="5901" width="10.5703125" style="31" customWidth="1"/>
    <col min="5902" max="5902" width="10.28515625" style="31" customWidth="1"/>
    <col min="5903" max="5903" width="10.140625" style="31" customWidth="1"/>
    <col min="5904" max="5904" width="11.7109375" style="31" customWidth="1"/>
    <col min="5905" max="5905" width="12.42578125" style="31" customWidth="1"/>
    <col min="5906" max="5906" width="11.7109375" style="31" customWidth="1"/>
    <col min="5907" max="5907" width="13.140625" style="31" customWidth="1"/>
    <col min="5908" max="6143" width="9.140625" style="31"/>
    <col min="6144" max="6144" width="3.7109375" style="31" customWidth="1"/>
    <col min="6145" max="6145" width="30.42578125" style="31" customWidth="1"/>
    <col min="6146" max="6146" width="7.140625" style="31" customWidth="1"/>
    <col min="6147" max="6147" width="10.7109375" style="31" customWidth="1"/>
    <col min="6148" max="6148" width="10.42578125" style="31" customWidth="1"/>
    <col min="6149" max="6149" width="10.5703125" style="31" customWidth="1"/>
    <col min="6150" max="6150" width="10.42578125" style="31" customWidth="1"/>
    <col min="6151" max="6153" width="10.5703125" style="31" customWidth="1"/>
    <col min="6154" max="6156" width="10.42578125" style="31" customWidth="1"/>
    <col min="6157" max="6157" width="10.5703125" style="31" customWidth="1"/>
    <col min="6158" max="6158" width="10.28515625" style="31" customWidth="1"/>
    <col min="6159" max="6159" width="10.140625" style="31" customWidth="1"/>
    <col min="6160" max="6160" width="11.7109375" style="31" customWidth="1"/>
    <col min="6161" max="6161" width="12.42578125" style="31" customWidth="1"/>
    <col min="6162" max="6162" width="11.7109375" style="31" customWidth="1"/>
    <col min="6163" max="6163" width="13.140625" style="31" customWidth="1"/>
    <col min="6164" max="6399" width="9.140625" style="31"/>
    <col min="6400" max="6400" width="3.7109375" style="31" customWidth="1"/>
    <col min="6401" max="6401" width="30.42578125" style="31" customWidth="1"/>
    <col min="6402" max="6402" width="7.140625" style="31" customWidth="1"/>
    <col min="6403" max="6403" width="10.7109375" style="31" customWidth="1"/>
    <col min="6404" max="6404" width="10.42578125" style="31" customWidth="1"/>
    <col min="6405" max="6405" width="10.5703125" style="31" customWidth="1"/>
    <col min="6406" max="6406" width="10.42578125" style="31" customWidth="1"/>
    <col min="6407" max="6409" width="10.5703125" style="31" customWidth="1"/>
    <col min="6410" max="6412" width="10.42578125" style="31" customWidth="1"/>
    <col min="6413" max="6413" width="10.5703125" style="31" customWidth="1"/>
    <col min="6414" max="6414" width="10.28515625" style="31" customWidth="1"/>
    <col min="6415" max="6415" width="10.140625" style="31" customWidth="1"/>
    <col min="6416" max="6416" width="11.7109375" style="31" customWidth="1"/>
    <col min="6417" max="6417" width="12.42578125" style="31" customWidth="1"/>
    <col min="6418" max="6418" width="11.7109375" style="31" customWidth="1"/>
    <col min="6419" max="6419" width="13.140625" style="31" customWidth="1"/>
    <col min="6420" max="6655" width="9.140625" style="31"/>
    <col min="6656" max="6656" width="3.7109375" style="31" customWidth="1"/>
    <col min="6657" max="6657" width="30.42578125" style="31" customWidth="1"/>
    <col min="6658" max="6658" width="7.140625" style="31" customWidth="1"/>
    <col min="6659" max="6659" width="10.7109375" style="31" customWidth="1"/>
    <col min="6660" max="6660" width="10.42578125" style="31" customWidth="1"/>
    <col min="6661" max="6661" width="10.5703125" style="31" customWidth="1"/>
    <col min="6662" max="6662" width="10.42578125" style="31" customWidth="1"/>
    <col min="6663" max="6665" width="10.5703125" style="31" customWidth="1"/>
    <col min="6666" max="6668" width="10.42578125" style="31" customWidth="1"/>
    <col min="6669" max="6669" width="10.5703125" style="31" customWidth="1"/>
    <col min="6670" max="6670" width="10.28515625" style="31" customWidth="1"/>
    <col min="6671" max="6671" width="10.140625" style="31" customWidth="1"/>
    <col min="6672" max="6672" width="11.7109375" style="31" customWidth="1"/>
    <col min="6673" max="6673" width="12.42578125" style="31" customWidth="1"/>
    <col min="6674" max="6674" width="11.7109375" style="31" customWidth="1"/>
    <col min="6675" max="6675" width="13.140625" style="31" customWidth="1"/>
    <col min="6676" max="6911" width="9.140625" style="31"/>
    <col min="6912" max="6912" width="3.7109375" style="31" customWidth="1"/>
    <col min="6913" max="6913" width="30.42578125" style="31" customWidth="1"/>
    <col min="6914" max="6914" width="7.140625" style="31" customWidth="1"/>
    <col min="6915" max="6915" width="10.7109375" style="31" customWidth="1"/>
    <col min="6916" max="6916" width="10.42578125" style="31" customWidth="1"/>
    <col min="6917" max="6917" width="10.5703125" style="31" customWidth="1"/>
    <col min="6918" max="6918" width="10.42578125" style="31" customWidth="1"/>
    <col min="6919" max="6921" width="10.5703125" style="31" customWidth="1"/>
    <col min="6922" max="6924" width="10.42578125" style="31" customWidth="1"/>
    <col min="6925" max="6925" width="10.5703125" style="31" customWidth="1"/>
    <col min="6926" max="6926" width="10.28515625" style="31" customWidth="1"/>
    <col min="6927" max="6927" width="10.140625" style="31" customWidth="1"/>
    <col min="6928" max="6928" width="11.7109375" style="31" customWidth="1"/>
    <col min="6929" max="6929" width="12.42578125" style="31" customWidth="1"/>
    <col min="6930" max="6930" width="11.7109375" style="31" customWidth="1"/>
    <col min="6931" max="6931" width="13.140625" style="31" customWidth="1"/>
    <col min="6932" max="7167" width="9.140625" style="31"/>
    <col min="7168" max="7168" width="3.7109375" style="31" customWidth="1"/>
    <col min="7169" max="7169" width="30.42578125" style="31" customWidth="1"/>
    <col min="7170" max="7170" width="7.140625" style="31" customWidth="1"/>
    <col min="7171" max="7171" width="10.7109375" style="31" customWidth="1"/>
    <col min="7172" max="7172" width="10.42578125" style="31" customWidth="1"/>
    <col min="7173" max="7173" width="10.5703125" style="31" customWidth="1"/>
    <col min="7174" max="7174" width="10.42578125" style="31" customWidth="1"/>
    <col min="7175" max="7177" width="10.5703125" style="31" customWidth="1"/>
    <col min="7178" max="7180" width="10.42578125" style="31" customWidth="1"/>
    <col min="7181" max="7181" width="10.5703125" style="31" customWidth="1"/>
    <col min="7182" max="7182" width="10.28515625" style="31" customWidth="1"/>
    <col min="7183" max="7183" width="10.140625" style="31" customWidth="1"/>
    <col min="7184" max="7184" width="11.7109375" style="31" customWidth="1"/>
    <col min="7185" max="7185" width="12.42578125" style="31" customWidth="1"/>
    <col min="7186" max="7186" width="11.7109375" style="31" customWidth="1"/>
    <col min="7187" max="7187" width="13.140625" style="31" customWidth="1"/>
    <col min="7188" max="7423" width="9.140625" style="31"/>
    <col min="7424" max="7424" width="3.7109375" style="31" customWidth="1"/>
    <col min="7425" max="7425" width="30.42578125" style="31" customWidth="1"/>
    <col min="7426" max="7426" width="7.140625" style="31" customWidth="1"/>
    <col min="7427" max="7427" width="10.7109375" style="31" customWidth="1"/>
    <col min="7428" max="7428" width="10.42578125" style="31" customWidth="1"/>
    <col min="7429" max="7429" width="10.5703125" style="31" customWidth="1"/>
    <col min="7430" max="7430" width="10.42578125" style="31" customWidth="1"/>
    <col min="7431" max="7433" width="10.5703125" style="31" customWidth="1"/>
    <col min="7434" max="7436" width="10.42578125" style="31" customWidth="1"/>
    <col min="7437" max="7437" width="10.5703125" style="31" customWidth="1"/>
    <col min="7438" max="7438" width="10.28515625" style="31" customWidth="1"/>
    <col min="7439" max="7439" width="10.140625" style="31" customWidth="1"/>
    <col min="7440" max="7440" width="11.7109375" style="31" customWidth="1"/>
    <col min="7441" max="7441" width="12.42578125" style="31" customWidth="1"/>
    <col min="7442" max="7442" width="11.7109375" style="31" customWidth="1"/>
    <col min="7443" max="7443" width="13.140625" style="31" customWidth="1"/>
    <col min="7444" max="7679" width="9.140625" style="31"/>
    <col min="7680" max="7680" width="3.7109375" style="31" customWidth="1"/>
    <col min="7681" max="7681" width="30.42578125" style="31" customWidth="1"/>
    <col min="7682" max="7682" width="7.140625" style="31" customWidth="1"/>
    <col min="7683" max="7683" width="10.7109375" style="31" customWidth="1"/>
    <col min="7684" max="7684" width="10.42578125" style="31" customWidth="1"/>
    <col min="7685" max="7685" width="10.5703125" style="31" customWidth="1"/>
    <col min="7686" max="7686" width="10.42578125" style="31" customWidth="1"/>
    <col min="7687" max="7689" width="10.5703125" style="31" customWidth="1"/>
    <col min="7690" max="7692" width="10.42578125" style="31" customWidth="1"/>
    <col min="7693" max="7693" width="10.5703125" style="31" customWidth="1"/>
    <col min="7694" max="7694" width="10.28515625" style="31" customWidth="1"/>
    <col min="7695" max="7695" width="10.140625" style="31" customWidth="1"/>
    <col min="7696" max="7696" width="11.7109375" style="31" customWidth="1"/>
    <col min="7697" max="7697" width="12.42578125" style="31" customWidth="1"/>
    <col min="7698" max="7698" width="11.7109375" style="31" customWidth="1"/>
    <col min="7699" max="7699" width="13.140625" style="31" customWidth="1"/>
    <col min="7700" max="7935" width="9.140625" style="31"/>
    <col min="7936" max="7936" width="3.7109375" style="31" customWidth="1"/>
    <col min="7937" max="7937" width="30.42578125" style="31" customWidth="1"/>
    <col min="7938" max="7938" width="7.140625" style="31" customWidth="1"/>
    <col min="7939" max="7939" width="10.7109375" style="31" customWidth="1"/>
    <col min="7940" max="7940" width="10.42578125" style="31" customWidth="1"/>
    <col min="7941" max="7941" width="10.5703125" style="31" customWidth="1"/>
    <col min="7942" max="7942" width="10.42578125" style="31" customWidth="1"/>
    <col min="7943" max="7945" width="10.5703125" style="31" customWidth="1"/>
    <col min="7946" max="7948" width="10.42578125" style="31" customWidth="1"/>
    <col min="7949" max="7949" width="10.5703125" style="31" customWidth="1"/>
    <col min="7950" max="7950" width="10.28515625" style="31" customWidth="1"/>
    <col min="7951" max="7951" width="10.140625" style="31" customWidth="1"/>
    <col min="7952" max="7952" width="11.7109375" style="31" customWidth="1"/>
    <col min="7953" max="7953" width="12.42578125" style="31" customWidth="1"/>
    <col min="7954" max="7954" width="11.7109375" style="31" customWidth="1"/>
    <col min="7955" max="7955" width="13.140625" style="31" customWidth="1"/>
    <col min="7956" max="8191" width="9.140625" style="31"/>
    <col min="8192" max="8192" width="3.7109375" style="31" customWidth="1"/>
    <col min="8193" max="8193" width="30.42578125" style="31" customWidth="1"/>
    <col min="8194" max="8194" width="7.140625" style="31" customWidth="1"/>
    <col min="8195" max="8195" width="10.7109375" style="31" customWidth="1"/>
    <col min="8196" max="8196" width="10.42578125" style="31" customWidth="1"/>
    <col min="8197" max="8197" width="10.5703125" style="31" customWidth="1"/>
    <col min="8198" max="8198" width="10.42578125" style="31" customWidth="1"/>
    <col min="8199" max="8201" width="10.5703125" style="31" customWidth="1"/>
    <col min="8202" max="8204" width="10.42578125" style="31" customWidth="1"/>
    <col min="8205" max="8205" width="10.5703125" style="31" customWidth="1"/>
    <col min="8206" max="8206" width="10.28515625" style="31" customWidth="1"/>
    <col min="8207" max="8207" width="10.140625" style="31" customWidth="1"/>
    <col min="8208" max="8208" width="11.7109375" style="31" customWidth="1"/>
    <col min="8209" max="8209" width="12.42578125" style="31" customWidth="1"/>
    <col min="8210" max="8210" width="11.7109375" style="31" customWidth="1"/>
    <col min="8211" max="8211" width="13.140625" style="31" customWidth="1"/>
    <col min="8212" max="8447" width="9.140625" style="31"/>
    <col min="8448" max="8448" width="3.7109375" style="31" customWidth="1"/>
    <col min="8449" max="8449" width="30.42578125" style="31" customWidth="1"/>
    <col min="8450" max="8450" width="7.140625" style="31" customWidth="1"/>
    <col min="8451" max="8451" width="10.7109375" style="31" customWidth="1"/>
    <col min="8452" max="8452" width="10.42578125" style="31" customWidth="1"/>
    <col min="8453" max="8453" width="10.5703125" style="31" customWidth="1"/>
    <col min="8454" max="8454" width="10.42578125" style="31" customWidth="1"/>
    <col min="8455" max="8457" width="10.5703125" style="31" customWidth="1"/>
    <col min="8458" max="8460" width="10.42578125" style="31" customWidth="1"/>
    <col min="8461" max="8461" width="10.5703125" style="31" customWidth="1"/>
    <col min="8462" max="8462" width="10.28515625" style="31" customWidth="1"/>
    <col min="8463" max="8463" width="10.140625" style="31" customWidth="1"/>
    <col min="8464" max="8464" width="11.7109375" style="31" customWidth="1"/>
    <col min="8465" max="8465" width="12.42578125" style="31" customWidth="1"/>
    <col min="8466" max="8466" width="11.7109375" style="31" customWidth="1"/>
    <col min="8467" max="8467" width="13.140625" style="31" customWidth="1"/>
    <col min="8468" max="8703" width="9.140625" style="31"/>
    <col min="8704" max="8704" width="3.7109375" style="31" customWidth="1"/>
    <col min="8705" max="8705" width="30.42578125" style="31" customWidth="1"/>
    <col min="8706" max="8706" width="7.140625" style="31" customWidth="1"/>
    <col min="8707" max="8707" width="10.7109375" style="31" customWidth="1"/>
    <col min="8708" max="8708" width="10.42578125" style="31" customWidth="1"/>
    <col min="8709" max="8709" width="10.5703125" style="31" customWidth="1"/>
    <col min="8710" max="8710" width="10.42578125" style="31" customWidth="1"/>
    <col min="8711" max="8713" width="10.5703125" style="31" customWidth="1"/>
    <col min="8714" max="8716" width="10.42578125" style="31" customWidth="1"/>
    <col min="8717" max="8717" width="10.5703125" style="31" customWidth="1"/>
    <col min="8718" max="8718" width="10.28515625" style="31" customWidth="1"/>
    <col min="8719" max="8719" width="10.140625" style="31" customWidth="1"/>
    <col min="8720" max="8720" width="11.7109375" style="31" customWidth="1"/>
    <col min="8721" max="8721" width="12.42578125" style="31" customWidth="1"/>
    <col min="8722" max="8722" width="11.7109375" style="31" customWidth="1"/>
    <col min="8723" max="8723" width="13.140625" style="31" customWidth="1"/>
    <col min="8724" max="8959" width="9.140625" style="31"/>
    <col min="8960" max="8960" width="3.7109375" style="31" customWidth="1"/>
    <col min="8961" max="8961" width="30.42578125" style="31" customWidth="1"/>
    <col min="8962" max="8962" width="7.140625" style="31" customWidth="1"/>
    <col min="8963" max="8963" width="10.7109375" style="31" customWidth="1"/>
    <col min="8964" max="8964" width="10.42578125" style="31" customWidth="1"/>
    <col min="8965" max="8965" width="10.5703125" style="31" customWidth="1"/>
    <col min="8966" max="8966" width="10.42578125" style="31" customWidth="1"/>
    <col min="8967" max="8969" width="10.5703125" style="31" customWidth="1"/>
    <col min="8970" max="8972" width="10.42578125" style="31" customWidth="1"/>
    <col min="8973" max="8973" width="10.5703125" style="31" customWidth="1"/>
    <col min="8974" max="8974" width="10.28515625" style="31" customWidth="1"/>
    <col min="8975" max="8975" width="10.140625" style="31" customWidth="1"/>
    <col min="8976" max="8976" width="11.7109375" style="31" customWidth="1"/>
    <col min="8977" max="8977" width="12.42578125" style="31" customWidth="1"/>
    <col min="8978" max="8978" width="11.7109375" style="31" customWidth="1"/>
    <col min="8979" max="8979" width="13.140625" style="31" customWidth="1"/>
    <col min="8980" max="9215" width="9.140625" style="31"/>
    <col min="9216" max="9216" width="3.7109375" style="31" customWidth="1"/>
    <col min="9217" max="9217" width="30.42578125" style="31" customWidth="1"/>
    <col min="9218" max="9218" width="7.140625" style="31" customWidth="1"/>
    <col min="9219" max="9219" width="10.7109375" style="31" customWidth="1"/>
    <col min="9220" max="9220" width="10.42578125" style="31" customWidth="1"/>
    <col min="9221" max="9221" width="10.5703125" style="31" customWidth="1"/>
    <col min="9222" max="9222" width="10.42578125" style="31" customWidth="1"/>
    <col min="9223" max="9225" width="10.5703125" style="31" customWidth="1"/>
    <col min="9226" max="9228" width="10.42578125" style="31" customWidth="1"/>
    <col min="9229" max="9229" width="10.5703125" style="31" customWidth="1"/>
    <col min="9230" max="9230" width="10.28515625" style="31" customWidth="1"/>
    <col min="9231" max="9231" width="10.140625" style="31" customWidth="1"/>
    <col min="9232" max="9232" width="11.7109375" style="31" customWidth="1"/>
    <col min="9233" max="9233" width="12.42578125" style="31" customWidth="1"/>
    <col min="9234" max="9234" width="11.7109375" style="31" customWidth="1"/>
    <col min="9235" max="9235" width="13.140625" style="31" customWidth="1"/>
    <col min="9236" max="9471" width="9.140625" style="31"/>
    <col min="9472" max="9472" width="3.7109375" style="31" customWidth="1"/>
    <col min="9473" max="9473" width="30.42578125" style="31" customWidth="1"/>
    <col min="9474" max="9474" width="7.140625" style="31" customWidth="1"/>
    <col min="9475" max="9475" width="10.7109375" style="31" customWidth="1"/>
    <col min="9476" max="9476" width="10.42578125" style="31" customWidth="1"/>
    <col min="9477" max="9477" width="10.5703125" style="31" customWidth="1"/>
    <col min="9478" max="9478" width="10.42578125" style="31" customWidth="1"/>
    <col min="9479" max="9481" width="10.5703125" style="31" customWidth="1"/>
    <col min="9482" max="9484" width="10.42578125" style="31" customWidth="1"/>
    <col min="9485" max="9485" width="10.5703125" style="31" customWidth="1"/>
    <col min="9486" max="9486" width="10.28515625" style="31" customWidth="1"/>
    <col min="9487" max="9487" width="10.140625" style="31" customWidth="1"/>
    <col min="9488" max="9488" width="11.7109375" style="31" customWidth="1"/>
    <col min="9489" max="9489" width="12.42578125" style="31" customWidth="1"/>
    <col min="9490" max="9490" width="11.7109375" style="31" customWidth="1"/>
    <col min="9491" max="9491" width="13.140625" style="31" customWidth="1"/>
    <col min="9492" max="9727" width="9.140625" style="31"/>
    <col min="9728" max="9728" width="3.7109375" style="31" customWidth="1"/>
    <col min="9729" max="9729" width="30.42578125" style="31" customWidth="1"/>
    <col min="9730" max="9730" width="7.140625" style="31" customWidth="1"/>
    <col min="9731" max="9731" width="10.7109375" style="31" customWidth="1"/>
    <col min="9732" max="9732" width="10.42578125" style="31" customWidth="1"/>
    <col min="9733" max="9733" width="10.5703125" style="31" customWidth="1"/>
    <col min="9734" max="9734" width="10.42578125" style="31" customWidth="1"/>
    <col min="9735" max="9737" width="10.5703125" style="31" customWidth="1"/>
    <col min="9738" max="9740" width="10.42578125" style="31" customWidth="1"/>
    <col min="9741" max="9741" width="10.5703125" style="31" customWidth="1"/>
    <col min="9742" max="9742" width="10.28515625" style="31" customWidth="1"/>
    <col min="9743" max="9743" width="10.140625" style="31" customWidth="1"/>
    <col min="9744" max="9744" width="11.7109375" style="31" customWidth="1"/>
    <col min="9745" max="9745" width="12.42578125" style="31" customWidth="1"/>
    <col min="9746" max="9746" width="11.7109375" style="31" customWidth="1"/>
    <col min="9747" max="9747" width="13.140625" style="31" customWidth="1"/>
    <col min="9748" max="9983" width="9.140625" style="31"/>
    <col min="9984" max="9984" width="3.7109375" style="31" customWidth="1"/>
    <col min="9985" max="9985" width="30.42578125" style="31" customWidth="1"/>
    <col min="9986" max="9986" width="7.140625" style="31" customWidth="1"/>
    <col min="9987" max="9987" width="10.7109375" style="31" customWidth="1"/>
    <col min="9988" max="9988" width="10.42578125" style="31" customWidth="1"/>
    <col min="9989" max="9989" width="10.5703125" style="31" customWidth="1"/>
    <col min="9990" max="9990" width="10.42578125" style="31" customWidth="1"/>
    <col min="9991" max="9993" width="10.5703125" style="31" customWidth="1"/>
    <col min="9994" max="9996" width="10.42578125" style="31" customWidth="1"/>
    <col min="9997" max="9997" width="10.5703125" style="31" customWidth="1"/>
    <col min="9998" max="9998" width="10.28515625" style="31" customWidth="1"/>
    <col min="9999" max="9999" width="10.140625" style="31" customWidth="1"/>
    <col min="10000" max="10000" width="11.7109375" style="31" customWidth="1"/>
    <col min="10001" max="10001" width="12.42578125" style="31" customWidth="1"/>
    <col min="10002" max="10002" width="11.7109375" style="31" customWidth="1"/>
    <col min="10003" max="10003" width="13.140625" style="31" customWidth="1"/>
    <col min="10004" max="10239" width="9.140625" style="31"/>
    <col min="10240" max="10240" width="3.7109375" style="31" customWidth="1"/>
    <col min="10241" max="10241" width="30.42578125" style="31" customWidth="1"/>
    <col min="10242" max="10242" width="7.140625" style="31" customWidth="1"/>
    <col min="10243" max="10243" width="10.7109375" style="31" customWidth="1"/>
    <col min="10244" max="10244" width="10.42578125" style="31" customWidth="1"/>
    <col min="10245" max="10245" width="10.5703125" style="31" customWidth="1"/>
    <col min="10246" max="10246" width="10.42578125" style="31" customWidth="1"/>
    <col min="10247" max="10249" width="10.5703125" style="31" customWidth="1"/>
    <col min="10250" max="10252" width="10.42578125" style="31" customWidth="1"/>
    <col min="10253" max="10253" width="10.5703125" style="31" customWidth="1"/>
    <col min="10254" max="10254" width="10.28515625" style="31" customWidth="1"/>
    <col min="10255" max="10255" width="10.140625" style="31" customWidth="1"/>
    <col min="10256" max="10256" width="11.7109375" style="31" customWidth="1"/>
    <col min="10257" max="10257" width="12.42578125" style="31" customWidth="1"/>
    <col min="10258" max="10258" width="11.7109375" style="31" customWidth="1"/>
    <col min="10259" max="10259" width="13.140625" style="31" customWidth="1"/>
    <col min="10260" max="10495" width="9.140625" style="31"/>
    <col min="10496" max="10496" width="3.7109375" style="31" customWidth="1"/>
    <col min="10497" max="10497" width="30.42578125" style="31" customWidth="1"/>
    <col min="10498" max="10498" width="7.140625" style="31" customWidth="1"/>
    <col min="10499" max="10499" width="10.7109375" style="31" customWidth="1"/>
    <col min="10500" max="10500" width="10.42578125" style="31" customWidth="1"/>
    <col min="10501" max="10501" width="10.5703125" style="31" customWidth="1"/>
    <col min="10502" max="10502" width="10.42578125" style="31" customWidth="1"/>
    <col min="10503" max="10505" width="10.5703125" style="31" customWidth="1"/>
    <col min="10506" max="10508" width="10.42578125" style="31" customWidth="1"/>
    <col min="10509" max="10509" width="10.5703125" style="31" customWidth="1"/>
    <col min="10510" max="10510" width="10.28515625" style="31" customWidth="1"/>
    <col min="10511" max="10511" width="10.140625" style="31" customWidth="1"/>
    <col min="10512" max="10512" width="11.7109375" style="31" customWidth="1"/>
    <col min="10513" max="10513" width="12.42578125" style="31" customWidth="1"/>
    <col min="10514" max="10514" width="11.7109375" style="31" customWidth="1"/>
    <col min="10515" max="10515" width="13.140625" style="31" customWidth="1"/>
    <col min="10516" max="10751" width="9.140625" style="31"/>
    <col min="10752" max="10752" width="3.7109375" style="31" customWidth="1"/>
    <col min="10753" max="10753" width="30.42578125" style="31" customWidth="1"/>
    <col min="10754" max="10754" width="7.140625" style="31" customWidth="1"/>
    <col min="10755" max="10755" width="10.7109375" style="31" customWidth="1"/>
    <col min="10756" max="10756" width="10.42578125" style="31" customWidth="1"/>
    <col min="10757" max="10757" width="10.5703125" style="31" customWidth="1"/>
    <col min="10758" max="10758" width="10.42578125" style="31" customWidth="1"/>
    <col min="10759" max="10761" width="10.5703125" style="31" customWidth="1"/>
    <col min="10762" max="10764" width="10.42578125" style="31" customWidth="1"/>
    <col min="10765" max="10765" width="10.5703125" style="31" customWidth="1"/>
    <col min="10766" max="10766" width="10.28515625" style="31" customWidth="1"/>
    <col min="10767" max="10767" width="10.140625" style="31" customWidth="1"/>
    <col min="10768" max="10768" width="11.7109375" style="31" customWidth="1"/>
    <col min="10769" max="10769" width="12.42578125" style="31" customWidth="1"/>
    <col min="10770" max="10770" width="11.7109375" style="31" customWidth="1"/>
    <col min="10771" max="10771" width="13.140625" style="31" customWidth="1"/>
    <col min="10772" max="11007" width="9.140625" style="31"/>
    <col min="11008" max="11008" width="3.7109375" style="31" customWidth="1"/>
    <col min="11009" max="11009" width="30.42578125" style="31" customWidth="1"/>
    <col min="11010" max="11010" width="7.140625" style="31" customWidth="1"/>
    <col min="11011" max="11011" width="10.7109375" style="31" customWidth="1"/>
    <col min="11012" max="11012" width="10.42578125" style="31" customWidth="1"/>
    <col min="11013" max="11013" width="10.5703125" style="31" customWidth="1"/>
    <col min="11014" max="11014" width="10.42578125" style="31" customWidth="1"/>
    <col min="11015" max="11017" width="10.5703125" style="31" customWidth="1"/>
    <col min="11018" max="11020" width="10.42578125" style="31" customWidth="1"/>
    <col min="11021" max="11021" width="10.5703125" style="31" customWidth="1"/>
    <col min="11022" max="11022" width="10.28515625" style="31" customWidth="1"/>
    <col min="11023" max="11023" width="10.140625" style="31" customWidth="1"/>
    <col min="11024" max="11024" width="11.7109375" style="31" customWidth="1"/>
    <col min="11025" max="11025" width="12.42578125" style="31" customWidth="1"/>
    <col min="11026" max="11026" width="11.7109375" style="31" customWidth="1"/>
    <col min="11027" max="11027" width="13.140625" style="31" customWidth="1"/>
    <col min="11028" max="11263" width="9.140625" style="31"/>
    <col min="11264" max="11264" width="3.7109375" style="31" customWidth="1"/>
    <col min="11265" max="11265" width="30.42578125" style="31" customWidth="1"/>
    <col min="11266" max="11266" width="7.140625" style="31" customWidth="1"/>
    <col min="11267" max="11267" width="10.7109375" style="31" customWidth="1"/>
    <col min="11268" max="11268" width="10.42578125" style="31" customWidth="1"/>
    <col min="11269" max="11269" width="10.5703125" style="31" customWidth="1"/>
    <col min="11270" max="11270" width="10.42578125" style="31" customWidth="1"/>
    <col min="11271" max="11273" width="10.5703125" style="31" customWidth="1"/>
    <col min="11274" max="11276" width="10.42578125" style="31" customWidth="1"/>
    <col min="11277" max="11277" width="10.5703125" style="31" customWidth="1"/>
    <col min="11278" max="11278" width="10.28515625" style="31" customWidth="1"/>
    <col min="11279" max="11279" width="10.140625" style="31" customWidth="1"/>
    <col min="11280" max="11280" width="11.7109375" style="31" customWidth="1"/>
    <col min="11281" max="11281" width="12.42578125" style="31" customWidth="1"/>
    <col min="11282" max="11282" width="11.7109375" style="31" customWidth="1"/>
    <col min="11283" max="11283" width="13.140625" style="31" customWidth="1"/>
    <col min="11284" max="11519" width="9.140625" style="31"/>
    <col min="11520" max="11520" width="3.7109375" style="31" customWidth="1"/>
    <col min="11521" max="11521" width="30.42578125" style="31" customWidth="1"/>
    <col min="11522" max="11522" width="7.140625" style="31" customWidth="1"/>
    <col min="11523" max="11523" width="10.7109375" style="31" customWidth="1"/>
    <col min="11524" max="11524" width="10.42578125" style="31" customWidth="1"/>
    <col min="11525" max="11525" width="10.5703125" style="31" customWidth="1"/>
    <col min="11526" max="11526" width="10.42578125" style="31" customWidth="1"/>
    <col min="11527" max="11529" width="10.5703125" style="31" customWidth="1"/>
    <col min="11530" max="11532" width="10.42578125" style="31" customWidth="1"/>
    <col min="11533" max="11533" width="10.5703125" style="31" customWidth="1"/>
    <col min="11534" max="11534" width="10.28515625" style="31" customWidth="1"/>
    <col min="11535" max="11535" width="10.140625" style="31" customWidth="1"/>
    <col min="11536" max="11536" width="11.7109375" style="31" customWidth="1"/>
    <col min="11537" max="11537" width="12.42578125" style="31" customWidth="1"/>
    <col min="11538" max="11538" width="11.7109375" style="31" customWidth="1"/>
    <col min="11539" max="11539" width="13.140625" style="31" customWidth="1"/>
    <col min="11540" max="11775" width="9.140625" style="31"/>
    <col min="11776" max="11776" width="3.7109375" style="31" customWidth="1"/>
    <col min="11777" max="11777" width="30.42578125" style="31" customWidth="1"/>
    <col min="11778" max="11778" width="7.140625" style="31" customWidth="1"/>
    <col min="11779" max="11779" width="10.7109375" style="31" customWidth="1"/>
    <col min="11780" max="11780" width="10.42578125" style="31" customWidth="1"/>
    <col min="11781" max="11781" width="10.5703125" style="31" customWidth="1"/>
    <col min="11782" max="11782" width="10.42578125" style="31" customWidth="1"/>
    <col min="11783" max="11785" width="10.5703125" style="31" customWidth="1"/>
    <col min="11786" max="11788" width="10.42578125" style="31" customWidth="1"/>
    <col min="11789" max="11789" width="10.5703125" style="31" customWidth="1"/>
    <col min="11790" max="11790" width="10.28515625" style="31" customWidth="1"/>
    <col min="11791" max="11791" width="10.140625" style="31" customWidth="1"/>
    <col min="11792" max="11792" width="11.7109375" style="31" customWidth="1"/>
    <col min="11793" max="11793" width="12.42578125" style="31" customWidth="1"/>
    <col min="11794" max="11794" width="11.7109375" style="31" customWidth="1"/>
    <col min="11795" max="11795" width="13.140625" style="31" customWidth="1"/>
    <col min="11796" max="12031" width="9.140625" style="31"/>
    <col min="12032" max="12032" width="3.7109375" style="31" customWidth="1"/>
    <col min="12033" max="12033" width="30.42578125" style="31" customWidth="1"/>
    <col min="12034" max="12034" width="7.140625" style="31" customWidth="1"/>
    <col min="12035" max="12035" width="10.7109375" style="31" customWidth="1"/>
    <col min="12036" max="12036" width="10.42578125" style="31" customWidth="1"/>
    <col min="12037" max="12037" width="10.5703125" style="31" customWidth="1"/>
    <col min="12038" max="12038" width="10.42578125" style="31" customWidth="1"/>
    <col min="12039" max="12041" width="10.5703125" style="31" customWidth="1"/>
    <col min="12042" max="12044" width="10.42578125" style="31" customWidth="1"/>
    <col min="12045" max="12045" width="10.5703125" style="31" customWidth="1"/>
    <col min="12046" max="12046" width="10.28515625" style="31" customWidth="1"/>
    <col min="12047" max="12047" width="10.140625" style="31" customWidth="1"/>
    <col min="12048" max="12048" width="11.7109375" style="31" customWidth="1"/>
    <col min="12049" max="12049" width="12.42578125" style="31" customWidth="1"/>
    <col min="12050" max="12050" width="11.7109375" style="31" customWidth="1"/>
    <col min="12051" max="12051" width="13.140625" style="31" customWidth="1"/>
    <col min="12052" max="12287" width="9.140625" style="31"/>
    <col min="12288" max="12288" width="3.7109375" style="31" customWidth="1"/>
    <col min="12289" max="12289" width="30.42578125" style="31" customWidth="1"/>
    <col min="12290" max="12290" width="7.140625" style="31" customWidth="1"/>
    <col min="12291" max="12291" width="10.7109375" style="31" customWidth="1"/>
    <col min="12292" max="12292" width="10.42578125" style="31" customWidth="1"/>
    <col min="12293" max="12293" width="10.5703125" style="31" customWidth="1"/>
    <col min="12294" max="12294" width="10.42578125" style="31" customWidth="1"/>
    <col min="12295" max="12297" width="10.5703125" style="31" customWidth="1"/>
    <col min="12298" max="12300" width="10.42578125" style="31" customWidth="1"/>
    <col min="12301" max="12301" width="10.5703125" style="31" customWidth="1"/>
    <col min="12302" max="12302" width="10.28515625" style="31" customWidth="1"/>
    <col min="12303" max="12303" width="10.140625" style="31" customWidth="1"/>
    <col min="12304" max="12304" width="11.7109375" style="31" customWidth="1"/>
    <col min="12305" max="12305" width="12.42578125" style="31" customWidth="1"/>
    <col min="12306" max="12306" width="11.7109375" style="31" customWidth="1"/>
    <col min="12307" max="12307" width="13.140625" style="31" customWidth="1"/>
    <col min="12308" max="12543" width="9.140625" style="31"/>
    <col min="12544" max="12544" width="3.7109375" style="31" customWidth="1"/>
    <col min="12545" max="12545" width="30.42578125" style="31" customWidth="1"/>
    <col min="12546" max="12546" width="7.140625" style="31" customWidth="1"/>
    <col min="12547" max="12547" width="10.7109375" style="31" customWidth="1"/>
    <col min="12548" max="12548" width="10.42578125" style="31" customWidth="1"/>
    <col min="12549" max="12549" width="10.5703125" style="31" customWidth="1"/>
    <col min="12550" max="12550" width="10.42578125" style="31" customWidth="1"/>
    <col min="12551" max="12553" width="10.5703125" style="31" customWidth="1"/>
    <col min="12554" max="12556" width="10.42578125" style="31" customWidth="1"/>
    <col min="12557" max="12557" width="10.5703125" style="31" customWidth="1"/>
    <col min="12558" max="12558" width="10.28515625" style="31" customWidth="1"/>
    <col min="12559" max="12559" width="10.140625" style="31" customWidth="1"/>
    <col min="12560" max="12560" width="11.7109375" style="31" customWidth="1"/>
    <col min="12561" max="12561" width="12.42578125" style="31" customWidth="1"/>
    <col min="12562" max="12562" width="11.7109375" style="31" customWidth="1"/>
    <col min="12563" max="12563" width="13.140625" style="31" customWidth="1"/>
    <col min="12564" max="12799" width="9.140625" style="31"/>
    <col min="12800" max="12800" width="3.7109375" style="31" customWidth="1"/>
    <col min="12801" max="12801" width="30.42578125" style="31" customWidth="1"/>
    <col min="12802" max="12802" width="7.140625" style="31" customWidth="1"/>
    <col min="12803" max="12803" width="10.7109375" style="31" customWidth="1"/>
    <col min="12804" max="12804" width="10.42578125" style="31" customWidth="1"/>
    <col min="12805" max="12805" width="10.5703125" style="31" customWidth="1"/>
    <col min="12806" max="12806" width="10.42578125" style="31" customWidth="1"/>
    <col min="12807" max="12809" width="10.5703125" style="31" customWidth="1"/>
    <col min="12810" max="12812" width="10.42578125" style="31" customWidth="1"/>
    <col min="12813" max="12813" width="10.5703125" style="31" customWidth="1"/>
    <col min="12814" max="12814" width="10.28515625" style="31" customWidth="1"/>
    <col min="12815" max="12815" width="10.140625" style="31" customWidth="1"/>
    <col min="12816" max="12816" width="11.7109375" style="31" customWidth="1"/>
    <col min="12817" max="12817" width="12.42578125" style="31" customWidth="1"/>
    <col min="12818" max="12818" width="11.7109375" style="31" customWidth="1"/>
    <col min="12819" max="12819" width="13.140625" style="31" customWidth="1"/>
    <col min="12820" max="13055" width="9.140625" style="31"/>
    <col min="13056" max="13056" width="3.7109375" style="31" customWidth="1"/>
    <col min="13057" max="13057" width="30.42578125" style="31" customWidth="1"/>
    <col min="13058" max="13058" width="7.140625" style="31" customWidth="1"/>
    <col min="13059" max="13059" width="10.7109375" style="31" customWidth="1"/>
    <col min="13060" max="13060" width="10.42578125" style="31" customWidth="1"/>
    <col min="13061" max="13061" width="10.5703125" style="31" customWidth="1"/>
    <col min="13062" max="13062" width="10.42578125" style="31" customWidth="1"/>
    <col min="13063" max="13065" width="10.5703125" style="31" customWidth="1"/>
    <col min="13066" max="13068" width="10.42578125" style="31" customWidth="1"/>
    <col min="13069" max="13069" width="10.5703125" style="31" customWidth="1"/>
    <col min="13070" max="13070" width="10.28515625" style="31" customWidth="1"/>
    <col min="13071" max="13071" width="10.140625" style="31" customWidth="1"/>
    <col min="13072" max="13072" width="11.7109375" style="31" customWidth="1"/>
    <col min="13073" max="13073" width="12.42578125" style="31" customWidth="1"/>
    <col min="13074" max="13074" width="11.7109375" style="31" customWidth="1"/>
    <col min="13075" max="13075" width="13.140625" style="31" customWidth="1"/>
    <col min="13076" max="13311" width="9.140625" style="31"/>
    <col min="13312" max="13312" width="3.7109375" style="31" customWidth="1"/>
    <col min="13313" max="13313" width="30.42578125" style="31" customWidth="1"/>
    <col min="13314" max="13314" width="7.140625" style="31" customWidth="1"/>
    <col min="13315" max="13315" width="10.7109375" style="31" customWidth="1"/>
    <col min="13316" max="13316" width="10.42578125" style="31" customWidth="1"/>
    <col min="13317" max="13317" width="10.5703125" style="31" customWidth="1"/>
    <col min="13318" max="13318" width="10.42578125" style="31" customWidth="1"/>
    <col min="13319" max="13321" width="10.5703125" style="31" customWidth="1"/>
    <col min="13322" max="13324" width="10.42578125" style="31" customWidth="1"/>
    <col min="13325" max="13325" width="10.5703125" style="31" customWidth="1"/>
    <col min="13326" max="13326" width="10.28515625" style="31" customWidth="1"/>
    <col min="13327" max="13327" width="10.140625" style="31" customWidth="1"/>
    <col min="13328" max="13328" width="11.7109375" style="31" customWidth="1"/>
    <col min="13329" max="13329" width="12.42578125" style="31" customWidth="1"/>
    <col min="13330" max="13330" width="11.7109375" style="31" customWidth="1"/>
    <col min="13331" max="13331" width="13.140625" style="31" customWidth="1"/>
    <col min="13332" max="13567" width="9.140625" style="31"/>
    <col min="13568" max="13568" width="3.7109375" style="31" customWidth="1"/>
    <col min="13569" max="13569" width="30.42578125" style="31" customWidth="1"/>
    <col min="13570" max="13570" width="7.140625" style="31" customWidth="1"/>
    <col min="13571" max="13571" width="10.7109375" style="31" customWidth="1"/>
    <col min="13572" max="13572" width="10.42578125" style="31" customWidth="1"/>
    <col min="13573" max="13573" width="10.5703125" style="31" customWidth="1"/>
    <col min="13574" max="13574" width="10.42578125" style="31" customWidth="1"/>
    <col min="13575" max="13577" width="10.5703125" style="31" customWidth="1"/>
    <col min="13578" max="13580" width="10.42578125" style="31" customWidth="1"/>
    <col min="13581" max="13581" width="10.5703125" style="31" customWidth="1"/>
    <col min="13582" max="13582" width="10.28515625" style="31" customWidth="1"/>
    <col min="13583" max="13583" width="10.140625" style="31" customWidth="1"/>
    <col min="13584" max="13584" width="11.7109375" style="31" customWidth="1"/>
    <col min="13585" max="13585" width="12.42578125" style="31" customWidth="1"/>
    <col min="13586" max="13586" width="11.7109375" style="31" customWidth="1"/>
    <col min="13587" max="13587" width="13.140625" style="31" customWidth="1"/>
    <col min="13588" max="13823" width="9.140625" style="31"/>
    <col min="13824" max="13824" width="3.7109375" style="31" customWidth="1"/>
    <col min="13825" max="13825" width="30.42578125" style="31" customWidth="1"/>
    <col min="13826" max="13826" width="7.140625" style="31" customWidth="1"/>
    <col min="13827" max="13827" width="10.7109375" style="31" customWidth="1"/>
    <col min="13828" max="13828" width="10.42578125" style="31" customWidth="1"/>
    <col min="13829" max="13829" width="10.5703125" style="31" customWidth="1"/>
    <col min="13830" max="13830" width="10.42578125" style="31" customWidth="1"/>
    <col min="13831" max="13833" width="10.5703125" style="31" customWidth="1"/>
    <col min="13834" max="13836" width="10.42578125" style="31" customWidth="1"/>
    <col min="13837" max="13837" width="10.5703125" style="31" customWidth="1"/>
    <col min="13838" max="13838" width="10.28515625" style="31" customWidth="1"/>
    <col min="13839" max="13839" width="10.140625" style="31" customWidth="1"/>
    <col min="13840" max="13840" width="11.7109375" style="31" customWidth="1"/>
    <col min="13841" max="13841" width="12.42578125" style="31" customWidth="1"/>
    <col min="13842" max="13842" width="11.7109375" style="31" customWidth="1"/>
    <col min="13843" max="13843" width="13.140625" style="31" customWidth="1"/>
    <col min="13844" max="14079" width="9.140625" style="31"/>
    <col min="14080" max="14080" width="3.7109375" style="31" customWidth="1"/>
    <col min="14081" max="14081" width="30.42578125" style="31" customWidth="1"/>
    <col min="14082" max="14082" width="7.140625" style="31" customWidth="1"/>
    <col min="14083" max="14083" width="10.7109375" style="31" customWidth="1"/>
    <col min="14084" max="14084" width="10.42578125" style="31" customWidth="1"/>
    <col min="14085" max="14085" width="10.5703125" style="31" customWidth="1"/>
    <col min="14086" max="14086" width="10.42578125" style="31" customWidth="1"/>
    <col min="14087" max="14089" width="10.5703125" style="31" customWidth="1"/>
    <col min="14090" max="14092" width="10.42578125" style="31" customWidth="1"/>
    <col min="14093" max="14093" width="10.5703125" style="31" customWidth="1"/>
    <col min="14094" max="14094" width="10.28515625" style="31" customWidth="1"/>
    <col min="14095" max="14095" width="10.140625" style="31" customWidth="1"/>
    <col min="14096" max="14096" width="11.7109375" style="31" customWidth="1"/>
    <col min="14097" max="14097" width="12.42578125" style="31" customWidth="1"/>
    <col min="14098" max="14098" width="11.7109375" style="31" customWidth="1"/>
    <col min="14099" max="14099" width="13.140625" style="31" customWidth="1"/>
    <col min="14100" max="14335" width="9.140625" style="31"/>
    <col min="14336" max="14336" width="3.7109375" style="31" customWidth="1"/>
    <col min="14337" max="14337" width="30.42578125" style="31" customWidth="1"/>
    <col min="14338" max="14338" width="7.140625" style="31" customWidth="1"/>
    <col min="14339" max="14339" width="10.7109375" style="31" customWidth="1"/>
    <col min="14340" max="14340" width="10.42578125" style="31" customWidth="1"/>
    <col min="14341" max="14341" width="10.5703125" style="31" customWidth="1"/>
    <col min="14342" max="14342" width="10.42578125" style="31" customWidth="1"/>
    <col min="14343" max="14345" width="10.5703125" style="31" customWidth="1"/>
    <col min="14346" max="14348" width="10.42578125" style="31" customWidth="1"/>
    <col min="14349" max="14349" width="10.5703125" style="31" customWidth="1"/>
    <col min="14350" max="14350" width="10.28515625" style="31" customWidth="1"/>
    <col min="14351" max="14351" width="10.140625" style="31" customWidth="1"/>
    <col min="14352" max="14352" width="11.7109375" style="31" customWidth="1"/>
    <col min="14353" max="14353" width="12.42578125" style="31" customWidth="1"/>
    <col min="14354" max="14354" width="11.7109375" style="31" customWidth="1"/>
    <col min="14355" max="14355" width="13.140625" style="31" customWidth="1"/>
    <col min="14356" max="14591" width="9.140625" style="31"/>
    <col min="14592" max="14592" width="3.7109375" style="31" customWidth="1"/>
    <col min="14593" max="14593" width="30.42578125" style="31" customWidth="1"/>
    <col min="14594" max="14594" width="7.140625" style="31" customWidth="1"/>
    <col min="14595" max="14595" width="10.7109375" style="31" customWidth="1"/>
    <col min="14596" max="14596" width="10.42578125" style="31" customWidth="1"/>
    <col min="14597" max="14597" width="10.5703125" style="31" customWidth="1"/>
    <col min="14598" max="14598" width="10.42578125" style="31" customWidth="1"/>
    <col min="14599" max="14601" width="10.5703125" style="31" customWidth="1"/>
    <col min="14602" max="14604" width="10.42578125" style="31" customWidth="1"/>
    <col min="14605" max="14605" width="10.5703125" style="31" customWidth="1"/>
    <col min="14606" max="14606" width="10.28515625" style="31" customWidth="1"/>
    <col min="14607" max="14607" width="10.140625" style="31" customWidth="1"/>
    <col min="14608" max="14608" width="11.7109375" style="31" customWidth="1"/>
    <col min="14609" max="14609" width="12.42578125" style="31" customWidth="1"/>
    <col min="14610" max="14610" width="11.7109375" style="31" customWidth="1"/>
    <col min="14611" max="14611" width="13.140625" style="31" customWidth="1"/>
    <col min="14612" max="14847" width="9.140625" style="31"/>
    <col min="14848" max="14848" width="3.7109375" style="31" customWidth="1"/>
    <col min="14849" max="14849" width="30.42578125" style="31" customWidth="1"/>
    <col min="14850" max="14850" width="7.140625" style="31" customWidth="1"/>
    <col min="14851" max="14851" width="10.7109375" style="31" customWidth="1"/>
    <col min="14852" max="14852" width="10.42578125" style="31" customWidth="1"/>
    <col min="14853" max="14853" width="10.5703125" style="31" customWidth="1"/>
    <col min="14854" max="14854" width="10.42578125" style="31" customWidth="1"/>
    <col min="14855" max="14857" width="10.5703125" style="31" customWidth="1"/>
    <col min="14858" max="14860" width="10.42578125" style="31" customWidth="1"/>
    <col min="14861" max="14861" width="10.5703125" style="31" customWidth="1"/>
    <col min="14862" max="14862" width="10.28515625" style="31" customWidth="1"/>
    <col min="14863" max="14863" width="10.140625" style="31" customWidth="1"/>
    <col min="14864" max="14864" width="11.7109375" style="31" customWidth="1"/>
    <col min="14865" max="14865" width="12.42578125" style="31" customWidth="1"/>
    <col min="14866" max="14866" width="11.7109375" style="31" customWidth="1"/>
    <col min="14867" max="14867" width="13.140625" style="31" customWidth="1"/>
    <col min="14868" max="15103" width="9.140625" style="31"/>
    <col min="15104" max="15104" width="3.7109375" style="31" customWidth="1"/>
    <col min="15105" max="15105" width="30.42578125" style="31" customWidth="1"/>
    <col min="15106" max="15106" width="7.140625" style="31" customWidth="1"/>
    <col min="15107" max="15107" width="10.7109375" style="31" customWidth="1"/>
    <col min="15108" max="15108" width="10.42578125" style="31" customWidth="1"/>
    <col min="15109" max="15109" width="10.5703125" style="31" customWidth="1"/>
    <col min="15110" max="15110" width="10.42578125" style="31" customWidth="1"/>
    <col min="15111" max="15113" width="10.5703125" style="31" customWidth="1"/>
    <col min="15114" max="15116" width="10.42578125" style="31" customWidth="1"/>
    <col min="15117" max="15117" width="10.5703125" style="31" customWidth="1"/>
    <col min="15118" max="15118" width="10.28515625" style="31" customWidth="1"/>
    <col min="15119" max="15119" width="10.140625" style="31" customWidth="1"/>
    <col min="15120" max="15120" width="11.7109375" style="31" customWidth="1"/>
    <col min="15121" max="15121" width="12.42578125" style="31" customWidth="1"/>
    <col min="15122" max="15122" width="11.7109375" style="31" customWidth="1"/>
    <col min="15123" max="15123" width="13.140625" style="31" customWidth="1"/>
    <col min="15124" max="15359" width="9.140625" style="31"/>
    <col min="15360" max="15360" width="3.7109375" style="31" customWidth="1"/>
    <col min="15361" max="15361" width="30.42578125" style="31" customWidth="1"/>
    <col min="15362" max="15362" width="7.140625" style="31" customWidth="1"/>
    <col min="15363" max="15363" width="10.7109375" style="31" customWidth="1"/>
    <col min="15364" max="15364" width="10.42578125" style="31" customWidth="1"/>
    <col min="15365" max="15365" width="10.5703125" style="31" customWidth="1"/>
    <col min="15366" max="15366" width="10.42578125" style="31" customWidth="1"/>
    <col min="15367" max="15369" width="10.5703125" style="31" customWidth="1"/>
    <col min="15370" max="15372" width="10.42578125" style="31" customWidth="1"/>
    <col min="15373" max="15373" width="10.5703125" style="31" customWidth="1"/>
    <col min="15374" max="15374" width="10.28515625" style="31" customWidth="1"/>
    <col min="15375" max="15375" width="10.140625" style="31" customWidth="1"/>
    <col min="15376" max="15376" width="11.7109375" style="31" customWidth="1"/>
    <col min="15377" max="15377" width="12.42578125" style="31" customWidth="1"/>
    <col min="15378" max="15378" width="11.7109375" style="31" customWidth="1"/>
    <col min="15379" max="15379" width="13.140625" style="31" customWidth="1"/>
    <col min="15380" max="15615" width="9.140625" style="31"/>
    <col min="15616" max="15616" width="3.7109375" style="31" customWidth="1"/>
    <col min="15617" max="15617" width="30.42578125" style="31" customWidth="1"/>
    <col min="15618" max="15618" width="7.140625" style="31" customWidth="1"/>
    <col min="15619" max="15619" width="10.7109375" style="31" customWidth="1"/>
    <col min="15620" max="15620" width="10.42578125" style="31" customWidth="1"/>
    <col min="15621" max="15621" width="10.5703125" style="31" customWidth="1"/>
    <col min="15622" max="15622" width="10.42578125" style="31" customWidth="1"/>
    <col min="15623" max="15625" width="10.5703125" style="31" customWidth="1"/>
    <col min="15626" max="15628" width="10.42578125" style="31" customWidth="1"/>
    <col min="15629" max="15629" width="10.5703125" style="31" customWidth="1"/>
    <col min="15630" max="15630" width="10.28515625" style="31" customWidth="1"/>
    <col min="15631" max="15631" width="10.140625" style="31" customWidth="1"/>
    <col min="15632" max="15632" width="11.7109375" style="31" customWidth="1"/>
    <col min="15633" max="15633" width="12.42578125" style="31" customWidth="1"/>
    <col min="15634" max="15634" width="11.7109375" style="31" customWidth="1"/>
    <col min="15635" max="15635" width="13.140625" style="31" customWidth="1"/>
    <col min="15636" max="15871" width="9.140625" style="31"/>
    <col min="15872" max="15872" width="3.7109375" style="31" customWidth="1"/>
    <col min="15873" max="15873" width="30.42578125" style="31" customWidth="1"/>
    <col min="15874" max="15874" width="7.140625" style="31" customWidth="1"/>
    <col min="15875" max="15875" width="10.7109375" style="31" customWidth="1"/>
    <col min="15876" max="15876" width="10.42578125" style="31" customWidth="1"/>
    <col min="15877" max="15877" width="10.5703125" style="31" customWidth="1"/>
    <col min="15878" max="15878" width="10.42578125" style="31" customWidth="1"/>
    <col min="15879" max="15881" width="10.5703125" style="31" customWidth="1"/>
    <col min="15882" max="15884" width="10.42578125" style="31" customWidth="1"/>
    <col min="15885" max="15885" width="10.5703125" style="31" customWidth="1"/>
    <col min="15886" max="15886" width="10.28515625" style="31" customWidth="1"/>
    <col min="15887" max="15887" width="10.140625" style="31" customWidth="1"/>
    <col min="15888" max="15888" width="11.7109375" style="31" customWidth="1"/>
    <col min="15889" max="15889" width="12.42578125" style="31" customWidth="1"/>
    <col min="15890" max="15890" width="11.7109375" style="31" customWidth="1"/>
    <col min="15891" max="15891" width="13.140625" style="31" customWidth="1"/>
    <col min="15892" max="16127" width="9.140625" style="31"/>
    <col min="16128" max="16128" width="3.7109375" style="31" customWidth="1"/>
    <col min="16129" max="16129" width="30.42578125" style="31" customWidth="1"/>
    <col min="16130" max="16130" width="7.140625" style="31" customWidth="1"/>
    <col min="16131" max="16131" width="10.7109375" style="31" customWidth="1"/>
    <col min="16132" max="16132" width="10.42578125" style="31" customWidth="1"/>
    <col min="16133" max="16133" width="10.5703125" style="31" customWidth="1"/>
    <col min="16134" max="16134" width="10.42578125" style="31" customWidth="1"/>
    <col min="16135" max="16137" width="10.5703125" style="31" customWidth="1"/>
    <col min="16138" max="16140" width="10.42578125" style="31" customWidth="1"/>
    <col min="16141" max="16141" width="10.5703125" style="31" customWidth="1"/>
    <col min="16142" max="16142" width="10.28515625" style="31" customWidth="1"/>
    <col min="16143" max="16143" width="10.140625" style="31" customWidth="1"/>
    <col min="16144" max="16144" width="11.7109375" style="31" customWidth="1"/>
    <col min="16145" max="16145" width="12.42578125" style="31" customWidth="1"/>
    <col min="16146" max="16146" width="11.7109375" style="31" customWidth="1"/>
    <col min="16147" max="16147" width="13.140625" style="31" customWidth="1"/>
    <col min="16148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145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7.5" customHeight="1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2.25" customHeight="1" thickTop="1">
      <c r="A4" s="2" t="s">
        <v>1</v>
      </c>
      <c r="B4" s="3" t="s">
        <v>2</v>
      </c>
      <c r="C4" s="4"/>
      <c r="D4" s="5" t="s">
        <v>3</v>
      </c>
      <c r="E4" s="6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6" t="s">
        <v>15</v>
      </c>
      <c r="Q4" s="6" t="s">
        <v>147</v>
      </c>
      <c r="R4" s="6" t="s">
        <v>148</v>
      </c>
      <c r="S4" s="8" t="s">
        <v>149</v>
      </c>
    </row>
    <row r="5" spans="1:19" s="15" customFormat="1" ht="25.5">
      <c r="A5" s="10" t="s">
        <v>16</v>
      </c>
      <c r="B5" s="11" t="s">
        <v>146</v>
      </c>
      <c r="C5" s="12">
        <v>30</v>
      </c>
      <c r="D5" s="13">
        <v>134</v>
      </c>
      <c r="E5" s="13">
        <v>158</v>
      </c>
      <c r="F5" s="13">
        <v>163</v>
      </c>
      <c r="G5" s="13">
        <v>124</v>
      </c>
      <c r="H5" s="13">
        <v>126</v>
      </c>
      <c r="I5" s="13">
        <v>76</v>
      </c>
      <c r="J5" s="13">
        <v>112</v>
      </c>
      <c r="K5" s="13">
        <v>94</v>
      </c>
      <c r="L5" s="13">
        <v>53</v>
      </c>
      <c r="M5" s="13">
        <v>143</v>
      </c>
      <c r="N5" s="13">
        <v>67</v>
      </c>
      <c r="O5" s="13">
        <v>64</v>
      </c>
      <c r="P5" s="13">
        <v>59</v>
      </c>
      <c r="Q5" s="13">
        <f>SUM(D5:P5)</f>
        <v>1373</v>
      </c>
      <c r="R5" s="13">
        <v>1370</v>
      </c>
      <c r="S5" s="58">
        <v>1413</v>
      </c>
    </row>
    <row r="6" spans="1:19" s="21" customFormat="1" ht="18" customHeight="1">
      <c r="A6" s="16"/>
      <c r="B6" s="17" t="s">
        <v>17</v>
      </c>
      <c r="C6" s="18"/>
      <c r="D6" s="13">
        <v>40</v>
      </c>
      <c r="E6" s="13">
        <v>91</v>
      </c>
      <c r="F6" s="13">
        <v>33</v>
      </c>
      <c r="G6" s="13">
        <v>103</v>
      </c>
      <c r="H6" s="13">
        <v>27</v>
      </c>
      <c r="I6" s="13">
        <v>23</v>
      </c>
      <c r="J6" s="13">
        <v>35</v>
      </c>
      <c r="K6" s="13">
        <v>114</v>
      </c>
      <c r="L6" s="13">
        <v>60</v>
      </c>
      <c r="M6" s="13">
        <v>25</v>
      </c>
      <c r="N6" s="13">
        <v>36</v>
      </c>
      <c r="O6" s="13">
        <v>15</v>
      </c>
      <c r="P6" s="13">
        <v>0</v>
      </c>
      <c r="Q6" s="19">
        <f>SUM(D6:P6)</f>
        <v>602</v>
      </c>
      <c r="R6" s="19">
        <v>602</v>
      </c>
      <c r="S6" s="96">
        <v>653</v>
      </c>
    </row>
    <row r="7" spans="1:19" s="27" customFormat="1" ht="18" customHeight="1">
      <c r="A7" s="22"/>
      <c r="B7" s="23" t="s">
        <v>18</v>
      </c>
      <c r="C7" s="24"/>
      <c r="D7" s="25">
        <f>SUM(D5:D6)</f>
        <v>174</v>
      </c>
      <c r="E7" s="25">
        <f t="shared" ref="E7:P7" si="0">SUM(E5:E6)</f>
        <v>249</v>
      </c>
      <c r="F7" s="25">
        <f t="shared" si="0"/>
        <v>196</v>
      </c>
      <c r="G7" s="25">
        <f t="shared" si="0"/>
        <v>227</v>
      </c>
      <c r="H7" s="25">
        <f t="shared" si="0"/>
        <v>153</v>
      </c>
      <c r="I7" s="25">
        <f t="shared" si="0"/>
        <v>99</v>
      </c>
      <c r="J7" s="25">
        <f t="shared" si="0"/>
        <v>147</v>
      </c>
      <c r="K7" s="25">
        <f t="shared" si="0"/>
        <v>208</v>
      </c>
      <c r="L7" s="25">
        <f t="shared" si="0"/>
        <v>113</v>
      </c>
      <c r="M7" s="25">
        <f t="shared" si="0"/>
        <v>168</v>
      </c>
      <c r="N7" s="25">
        <f t="shared" si="0"/>
        <v>103</v>
      </c>
      <c r="O7" s="25">
        <f t="shared" si="0"/>
        <v>79</v>
      </c>
      <c r="P7" s="25">
        <f t="shared" si="0"/>
        <v>59</v>
      </c>
      <c r="Q7" s="25">
        <f>SUM(D7:P7)</f>
        <v>1975</v>
      </c>
      <c r="R7" s="25">
        <v>1972</v>
      </c>
      <c r="S7" s="26">
        <v>2066</v>
      </c>
    </row>
    <row r="8" spans="1:19" ht="18" customHeight="1">
      <c r="A8" s="28" t="s">
        <v>19</v>
      </c>
      <c r="B8" s="11" t="s">
        <v>20</v>
      </c>
      <c r="C8" s="29"/>
      <c r="D8" s="13">
        <v>134</v>
      </c>
      <c r="E8" s="13">
        <v>158</v>
      </c>
      <c r="F8" s="13">
        <v>166</v>
      </c>
      <c r="G8" s="13">
        <v>123</v>
      </c>
      <c r="H8" s="13">
        <v>126</v>
      </c>
      <c r="I8" s="13">
        <v>76</v>
      </c>
      <c r="J8" s="13">
        <v>112</v>
      </c>
      <c r="K8" s="13">
        <v>93</v>
      </c>
      <c r="L8" s="13">
        <v>55</v>
      </c>
      <c r="M8" s="13">
        <v>143</v>
      </c>
      <c r="N8" s="13">
        <v>67</v>
      </c>
      <c r="O8" s="13">
        <v>64</v>
      </c>
      <c r="P8" s="13">
        <v>60</v>
      </c>
      <c r="Q8" s="30">
        <f>SUM(D8:P8)</f>
        <v>1377</v>
      </c>
      <c r="R8" s="30">
        <v>1380</v>
      </c>
      <c r="S8" s="171">
        <v>1386</v>
      </c>
    </row>
    <row r="9" spans="1:19" ht="18" customHeight="1">
      <c r="A9" s="16"/>
      <c r="B9" s="17" t="s">
        <v>21</v>
      </c>
      <c r="C9" s="18"/>
      <c r="D9" s="13">
        <f>D6</f>
        <v>40</v>
      </c>
      <c r="E9" s="13">
        <f t="shared" ref="E9:P9" si="1">E6</f>
        <v>91</v>
      </c>
      <c r="F9" s="13">
        <f t="shared" si="1"/>
        <v>33</v>
      </c>
      <c r="G9" s="13">
        <f t="shared" si="1"/>
        <v>103</v>
      </c>
      <c r="H9" s="13">
        <f t="shared" si="1"/>
        <v>27</v>
      </c>
      <c r="I9" s="13">
        <f t="shared" si="1"/>
        <v>23</v>
      </c>
      <c r="J9" s="13">
        <f t="shared" si="1"/>
        <v>35</v>
      </c>
      <c r="K9" s="13">
        <f t="shared" si="1"/>
        <v>114</v>
      </c>
      <c r="L9" s="13">
        <f t="shared" si="1"/>
        <v>60</v>
      </c>
      <c r="M9" s="13">
        <f t="shared" si="1"/>
        <v>25</v>
      </c>
      <c r="N9" s="13">
        <f t="shared" si="1"/>
        <v>36</v>
      </c>
      <c r="O9" s="13">
        <f t="shared" si="1"/>
        <v>15</v>
      </c>
      <c r="P9" s="13">
        <f t="shared" si="1"/>
        <v>0</v>
      </c>
      <c r="Q9" s="13">
        <f>SUM(D9:P9)</f>
        <v>602</v>
      </c>
      <c r="R9" s="13">
        <v>602</v>
      </c>
      <c r="S9" s="58">
        <v>653</v>
      </c>
    </row>
    <row r="10" spans="1:19" s="33" customFormat="1" ht="18" customHeight="1">
      <c r="A10" s="22"/>
      <c r="B10" s="23" t="s">
        <v>22</v>
      </c>
      <c r="C10" s="24"/>
      <c r="D10" s="32">
        <f>SUM(D8:D9)</f>
        <v>174</v>
      </c>
      <c r="E10" s="32">
        <f t="shared" ref="E10:P10" si="2">SUM(E8:E9)</f>
        <v>249</v>
      </c>
      <c r="F10" s="32">
        <f t="shared" si="2"/>
        <v>199</v>
      </c>
      <c r="G10" s="32">
        <f t="shared" si="2"/>
        <v>226</v>
      </c>
      <c r="H10" s="32">
        <f t="shared" si="2"/>
        <v>153</v>
      </c>
      <c r="I10" s="32">
        <f t="shared" si="2"/>
        <v>99</v>
      </c>
      <c r="J10" s="32">
        <f t="shared" si="2"/>
        <v>147</v>
      </c>
      <c r="K10" s="32">
        <f t="shared" si="2"/>
        <v>207</v>
      </c>
      <c r="L10" s="32">
        <f t="shared" si="2"/>
        <v>115</v>
      </c>
      <c r="M10" s="32">
        <f t="shared" si="2"/>
        <v>168</v>
      </c>
      <c r="N10" s="32">
        <f t="shared" si="2"/>
        <v>103</v>
      </c>
      <c r="O10" s="32">
        <f t="shared" si="2"/>
        <v>79</v>
      </c>
      <c r="P10" s="32">
        <f t="shared" si="2"/>
        <v>60</v>
      </c>
      <c r="Q10" s="32">
        <f>SUM(Q8:Q9)</f>
        <v>1979</v>
      </c>
      <c r="R10" s="32">
        <v>1982</v>
      </c>
      <c r="S10" s="48">
        <v>2039</v>
      </c>
    </row>
    <row r="11" spans="1:19" s="15" customFormat="1" ht="18" customHeight="1">
      <c r="A11" s="10" t="s">
        <v>23</v>
      </c>
      <c r="B11" s="34" t="s">
        <v>24</v>
      </c>
      <c r="C11" s="35"/>
      <c r="D11" s="13">
        <v>102</v>
      </c>
      <c r="E11" s="13">
        <v>110</v>
      </c>
      <c r="F11" s="13">
        <v>97</v>
      </c>
      <c r="G11" s="13">
        <v>89</v>
      </c>
      <c r="H11" s="13">
        <v>89</v>
      </c>
      <c r="I11" s="13">
        <v>54</v>
      </c>
      <c r="J11" s="13">
        <v>81</v>
      </c>
      <c r="K11" s="13">
        <v>62</v>
      </c>
      <c r="L11" s="13">
        <v>43</v>
      </c>
      <c r="M11" s="13">
        <v>83</v>
      </c>
      <c r="N11" s="13">
        <v>44</v>
      </c>
      <c r="O11" s="13">
        <v>46</v>
      </c>
      <c r="P11" s="13">
        <v>40</v>
      </c>
      <c r="Q11" s="36">
        <f>SUM(D11:P11)</f>
        <v>940</v>
      </c>
      <c r="R11" s="36">
        <v>960</v>
      </c>
      <c r="S11" s="49">
        <v>936</v>
      </c>
    </row>
    <row r="12" spans="1:19" s="21" customFormat="1" ht="18" customHeight="1">
      <c r="A12" s="16"/>
      <c r="B12" s="17" t="s">
        <v>25</v>
      </c>
      <c r="C12" s="18"/>
      <c r="D12" s="13">
        <v>5</v>
      </c>
      <c r="E12" s="13">
        <v>6</v>
      </c>
      <c r="F12" s="13">
        <v>1</v>
      </c>
      <c r="G12" s="13">
        <v>2</v>
      </c>
      <c r="H12" s="13">
        <v>3</v>
      </c>
      <c r="I12" s="13">
        <v>2</v>
      </c>
      <c r="J12" s="13">
        <v>16</v>
      </c>
      <c r="K12" s="13">
        <v>6</v>
      </c>
      <c r="L12" s="13">
        <v>2</v>
      </c>
      <c r="M12" s="13">
        <v>2</v>
      </c>
      <c r="N12" s="13">
        <v>6</v>
      </c>
      <c r="O12" s="13">
        <v>2</v>
      </c>
      <c r="P12" s="13">
        <v>1</v>
      </c>
      <c r="Q12" s="37">
        <f>SUM(D12:P12)</f>
        <v>54</v>
      </c>
      <c r="R12" s="37">
        <v>28</v>
      </c>
      <c r="S12" s="38">
        <v>53</v>
      </c>
    </row>
    <row r="13" spans="1:19" s="21" customFormat="1" ht="18.75" customHeight="1">
      <c r="A13" s="16"/>
      <c r="B13" s="34" t="s">
        <v>26</v>
      </c>
      <c r="C13" s="18"/>
      <c r="D13" s="37">
        <f>D11+D12</f>
        <v>107</v>
      </c>
      <c r="E13" s="37">
        <f t="shared" ref="E13:Q13" si="3">E11+E12</f>
        <v>116</v>
      </c>
      <c r="F13" s="37">
        <f t="shared" si="3"/>
        <v>98</v>
      </c>
      <c r="G13" s="37">
        <f t="shared" si="3"/>
        <v>91</v>
      </c>
      <c r="H13" s="37">
        <f t="shared" si="3"/>
        <v>92</v>
      </c>
      <c r="I13" s="37">
        <f t="shared" si="3"/>
        <v>56</v>
      </c>
      <c r="J13" s="37">
        <f t="shared" si="3"/>
        <v>97</v>
      </c>
      <c r="K13" s="37">
        <f t="shared" si="3"/>
        <v>68</v>
      </c>
      <c r="L13" s="37">
        <f t="shared" si="3"/>
        <v>45</v>
      </c>
      <c r="M13" s="37">
        <f t="shared" si="3"/>
        <v>85</v>
      </c>
      <c r="N13" s="37">
        <f t="shared" si="3"/>
        <v>50</v>
      </c>
      <c r="O13" s="37">
        <f t="shared" si="3"/>
        <v>48</v>
      </c>
      <c r="P13" s="37">
        <f t="shared" si="3"/>
        <v>41</v>
      </c>
      <c r="Q13" s="37">
        <f t="shared" si="3"/>
        <v>994</v>
      </c>
      <c r="R13" s="37">
        <v>988</v>
      </c>
      <c r="S13" s="38">
        <v>989</v>
      </c>
    </row>
    <row r="14" spans="1:19" s="21" customFormat="1" ht="18" customHeight="1">
      <c r="A14" s="39"/>
      <c r="B14" s="40" t="s">
        <v>27</v>
      </c>
      <c r="C14" s="41"/>
      <c r="D14" s="42">
        <f t="shared" ref="D14:Q14" si="4">D12/D8*100</f>
        <v>3.7313432835820892</v>
      </c>
      <c r="E14" s="42">
        <f t="shared" si="4"/>
        <v>3.79746835443038</v>
      </c>
      <c r="F14" s="42">
        <f t="shared" si="4"/>
        <v>0.60240963855421692</v>
      </c>
      <c r="G14" s="42">
        <f t="shared" si="4"/>
        <v>1.6260162601626018</v>
      </c>
      <c r="H14" s="42">
        <f t="shared" si="4"/>
        <v>2.3809523809523809</v>
      </c>
      <c r="I14" s="42">
        <f t="shared" si="4"/>
        <v>2.6315789473684208</v>
      </c>
      <c r="J14" s="42">
        <f t="shared" si="4"/>
        <v>14.285714285714285</v>
      </c>
      <c r="K14" s="42">
        <f t="shared" si="4"/>
        <v>6.4516129032258061</v>
      </c>
      <c r="L14" s="42">
        <f t="shared" si="4"/>
        <v>3.6363636363636362</v>
      </c>
      <c r="M14" s="42">
        <f t="shared" si="4"/>
        <v>1.3986013986013985</v>
      </c>
      <c r="N14" s="42">
        <f t="shared" si="4"/>
        <v>8.9552238805970141</v>
      </c>
      <c r="O14" s="42">
        <f t="shared" si="4"/>
        <v>3.125</v>
      </c>
      <c r="P14" s="42">
        <f t="shared" si="4"/>
        <v>1.6666666666666667</v>
      </c>
      <c r="Q14" s="42">
        <f t="shared" si="4"/>
        <v>3.9215686274509802</v>
      </c>
      <c r="R14" s="42">
        <v>2.0289855072463765</v>
      </c>
      <c r="S14" s="43">
        <v>3.8239538239538238</v>
      </c>
    </row>
    <row r="15" spans="1:19" s="21" customFormat="1" ht="18" customHeight="1">
      <c r="A15" s="28" t="s">
        <v>28</v>
      </c>
      <c r="B15" s="34" t="s">
        <v>29</v>
      </c>
      <c r="C15" s="29"/>
      <c r="D15" s="13">
        <f>D11</f>
        <v>102</v>
      </c>
      <c r="E15" s="13">
        <f t="shared" ref="E15:P15" si="5">E11</f>
        <v>110</v>
      </c>
      <c r="F15" s="13">
        <f t="shared" si="5"/>
        <v>97</v>
      </c>
      <c r="G15" s="13">
        <f t="shared" si="5"/>
        <v>89</v>
      </c>
      <c r="H15" s="13">
        <f t="shared" si="5"/>
        <v>89</v>
      </c>
      <c r="I15" s="13">
        <f t="shared" si="5"/>
        <v>54</v>
      </c>
      <c r="J15" s="13">
        <f t="shared" si="5"/>
        <v>81</v>
      </c>
      <c r="K15" s="13">
        <f t="shared" si="5"/>
        <v>62</v>
      </c>
      <c r="L15" s="44">
        <f t="shared" si="5"/>
        <v>43</v>
      </c>
      <c r="M15" s="13">
        <f t="shared" si="5"/>
        <v>83</v>
      </c>
      <c r="N15" s="13">
        <f t="shared" si="5"/>
        <v>44</v>
      </c>
      <c r="O15" s="13">
        <f t="shared" si="5"/>
        <v>46</v>
      </c>
      <c r="P15" s="13">
        <f t="shared" si="5"/>
        <v>40</v>
      </c>
      <c r="Q15" s="45">
        <f>SUM(D15:P15)</f>
        <v>940</v>
      </c>
      <c r="R15" s="45">
        <v>960</v>
      </c>
      <c r="S15" s="46">
        <v>936</v>
      </c>
    </row>
    <row r="16" spans="1:19" s="21" customFormat="1" ht="18" customHeight="1">
      <c r="A16" s="16"/>
      <c r="B16" s="17" t="s">
        <v>21</v>
      </c>
      <c r="C16" s="18"/>
      <c r="D16" s="13">
        <v>25</v>
      </c>
      <c r="E16" s="13">
        <v>54</v>
      </c>
      <c r="F16" s="13">
        <v>17</v>
      </c>
      <c r="G16" s="13">
        <v>81</v>
      </c>
      <c r="H16" s="13">
        <v>18</v>
      </c>
      <c r="I16" s="13">
        <v>12</v>
      </c>
      <c r="J16" s="13">
        <v>21</v>
      </c>
      <c r="K16" s="13">
        <v>80</v>
      </c>
      <c r="L16" s="13">
        <v>51</v>
      </c>
      <c r="M16" s="13">
        <v>17</v>
      </c>
      <c r="N16" s="13">
        <v>31</v>
      </c>
      <c r="O16" s="13">
        <v>8</v>
      </c>
      <c r="P16" s="13">
        <v>0</v>
      </c>
      <c r="Q16" s="37">
        <f>SUM(D16:P16)</f>
        <v>415</v>
      </c>
      <c r="R16" s="37">
        <v>423</v>
      </c>
      <c r="S16" s="38">
        <v>427</v>
      </c>
    </row>
    <row r="17" spans="1:19" s="27" customFormat="1" ht="18" customHeight="1">
      <c r="A17" s="22"/>
      <c r="B17" s="47" t="s">
        <v>30</v>
      </c>
      <c r="C17" s="24"/>
      <c r="D17" s="32">
        <f>SUM(D15:D16)</f>
        <v>127</v>
      </c>
      <c r="E17" s="32">
        <f t="shared" ref="E17:Q17" si="6">SUM(E15:E16)</f>
        <v>164</v>
      </c>
      <c r="F17" s="32">
        <f t="shared" si="6"/>
        <v>114</v>
      </c>
      <c r="G17" s="32">
        <f t="shared" si="6"/>
        <v>170</v>
      </c>
      <c r="H17" s="32">
        <f t="shared" si="6"/>
        <v>107</v>
      </c>
      <c r="I17" s="32">
        <f t="shared" si="6"/>
        <v>66</v>
      </c>
      <c r="J17" s="32">
        <f t="shared" si="6"/>
        <v>102</v>
      </c>
      <c r="K17" s="32">
        <f t="shared" si="6"/>
        <v>142</v>
      </c>
      <c r="L17" s="32">
        <f t="shared" si="6"/>
        <v>94</v>
      </c>
      <c r="M17" s="32">
        <f t="shared" si="6"/>
        <v>100</v>
      </c>
      <c r="N17" s="32">
        <f t="shared" si="6"/>
        <v>75</v>
      </c>
      <c r="O17" s="32">
        <f t="shared" si="6"/>
        <v>54</v>
      </c>
      <c r="P17" s="32">
        <f t="shared" si="6"/>
        <v>40</v>
      </c>
      <c r="Q17" s="32">
        <f t="shared" si="6"/>
        <v>1355</v>
      </c>
      <c r="R17" s="32">
        <v>1383</v>
      </c>
      <c r="S17" s="48">
        <v>1363</v>
      </c>
    </row>
    <row r="18" spans="1:19" s="15" customFormat="1" ht="22.5" customHeight="1">
      <c r="A18" s="10">
        <v>3</v>
      </c>
      <c r="B18" s="11" t="s">
        <v>31</v>
      </c>
      <c r="C18" s="35"/>
      <c r="D18" s="19">
        <f>D8-D11</f>
        <v>32</v>
      </c>
      <c r="E18" s="19">
        <f t="shared" ref="E18:Q18" si="7">E8-E11</f>
        <v>48</v>
      </c>
      <c r="F18" s="19">
        <f t="shared" si="7"/>
        <v>69</v>
      </c>
      <c r="G18" s="19">
        <f t="shared" si="7"/>
        <v>34</v>
      </c>
      <c r="H18" s="19">
        <f t="shared" si="7"/>
        <v>37</v>
      </c>
      <c r="I18" s="19">
        <f t="shared" si="7"/>
        <v>22</v>
      </c>
      <c r="J18" s="19">
        <f t="shared" si="7"/>
        <v>31</v>
      </c>
      <c r="K18" s="19">
        <f t="shared" si="7"/>
        <v>31</v>
      </c>
      <c r="L18" s="19">
        <f t="shared" si="7"/>
        <v>12</v>
      </c>
      <c r="M18" s="19">
        <f t="shared" si="7"/>
        <v>60</v>
      </c>
      <c r="N18" s="19">
        <f t="shared" si="7"/>
        <v>23</v>
      </c>
      <c r="O18" s="19">
        <f t="shared" si="7"/>
        <v>18</v>
      </c>
      <c r="P18" s="19">
        <f t="shared" si="7"/>
        <v>20</v>
      </c>
      <c r="Q18" s="19">
        <f t="shared" si="7"/>
        <v>437</v>
      </c>
      <c r="R18" s="19">
        <v>420</v>
      </c>
      <c r="S18" s="96">
        <v>450</v>
      </c>
    </row>
    <row r="19" spans="1:19" s="21" customFormat="1" ht="18" customHeight="1">
      <c r="A19" s="16"/>
      <c r="B19" s="17" t="s">
        <v>21</v>
      </c>
      <c r="C19" s="18"/>
      <c r="D19" s="19">
        <f>D6-D16</f>
        <v>15</v>
      </c>
      <c r="E19" s="19">
        <f t="shared" ref="E19:Q19" si="8">E6-E16</f>
        <v>37</v>
      </c>
      <c r="F19" s="19">
        <f t="shared" si="8"/>
        <v>16</v>
      </c>
      <c r="G19" s="19">
        <f t="shared" si="8"/>
        <v>22</v>
      </c>
      <c r="H19" s="19">
        <f t="shared" si="8"/>
        <v>9</v>
      </c>
      <c r="I19" s="19">
        <f t="shared" si="8"/>
        <v>11</v>
      </c>
      <c r="J19" s="19">
        <f t="shared" si="8"/>
        <v>14</v>
      </c>
      <c r="K19" s="19">
        <f t="shared" si="8"/>
        <v>34</v>
      </c>
      <c r="L19" s="19">
        <f t="shared" si="8"/>
        <v>9</v>
      </c>
      <c r="M19" s="19">
        <f t="shared" si="8"/>
        <v>8</v>
      </c>
      <c r="N19" s="19">
        <f t="shared" si="8"/>
        <v>5</v>
      </c>
      <c r="O19" s="19">
        <f t="shared" si="8"/>
        <v>7</v>
      </c>
      <c r="P19" s="19">
        <f t="shared" si="8"/>
        <v>0</v>
      </c>
      <c r="Q19" s="19">
        <f t="shared" si="8"/>
        <v>187</v>
      </c>
      <c r="R19" s="19">
        <v>179</v>
      </c>
      <c r="S19" s="38">
        <v>226</v>
      </c>
    </row>
    <row r="20" spans="1:19" s="21" customFormat="1" ht="18" customHeight="1">
      <c r="A20" s="16"/>
      <c r="B20" s="50" t="s">
        <v>32</v>
      </c>
      <c r="C20" s="18"/>
      <c r="D20" s="37">
        <f t="shared" ref="D20:P20" si="9">SUM(D18:D19)</f>
        <v>47</v>
      </c>
      <c r="E20" s="37">
        <f t="shared" si="9"/>
        <v>85</v>
      </c>
      <c r="F20" s="37">
        <f t="shared" si="9"/>
        <v>85</v>
      </c>
      <c r="G20" s="37">
        <f t="shared" si="9"/>
        <v>56</v>
      </c>
      <c r="H20" s="37">
        <f t="shared" si="9"/>
        <v>46</v>
      </c>
      <c r="I20" s="37">
        <f>SUM(I18:I19)</f>
        <v>33</v>
      </c>
      <c r="J20" s="37">
        <f>SUM(J18:J19)</f>
        <v>45</v>
      </c>
      <c r="K20" s="37">
        <f t="shared" si="9"/>
        <v>65</v>
      </c>
      <c r="L20" s="37">
        <f t="shared" si="9"/>
        <v>21</v>
      </c>
      <c r="M20" s="37">
        <f>SUM(M18:M19)</f>
        <v>68</v>
      </c>
      <c r="N20" s="37">
        <f t="shared" si="9"/>
        <v>28</v>
      </c>
      <c r="O20" s="37">
        <f t="shared" si="9"/>
        <v>25</v>
      </c>
      <c r="P20" s="37">
        <f t="shared" si="9"/>
        <v>20</v>
      </c>
      <c r="Q20" s="37">
        <f>SUM(D20:P20)</f>
        <v>624</v>
      </c>
      <c r="R20" s="37">
        <v>599</v>
      </c>
      <c r="S20" s="38">
        <v>676</v>
      </c>
    </row>
    <row r="21" spans="1:19" s="21" customFormat="1" ht="18" customHeight="1">
      <c r="A21" s="16"/>
      <c r="B21" s="17" t="s">
        <v>33</v>
      </c>
      <c r="C21" s="18"/>
      <c r="D21" s="13">
        <v>27</v>
      </c>
      <c r="E21" s="13">
        <v>42</v>
      </c>
      <c r="F21" s="13">
        <v>68</v>
      </c>
      <c r="G21" s="13">
        <v>32</v>
      </c>
      <c r="H21" s="13">
        <v>34</v>
      </c>
      <c r="I21" s="13">
        <v>19</v>
      </c>
      <c r="J21" s="13">
        <v>16</v>
      </c>
      <c r="K21" s="13">
        <v>25</v>
      </c>
      <c r="L21" s="13">
        <v>9</v>
      </c>
      <c r="M21" s="13">
        <v>58</v>
      </c>
      <c r="N21" s="13">
        <v>17</v>
      </c>
      <c r="O21" s="13">
        <v>16</v>
      </c>
      <c r="P21" s="13">
        <v>20</v>
      </c>
      <c r="Q21" s="37">
        <f>SUM(D21:P21)</f>
        <v>383</v>
      </c>
      <c r="R21" s="37">
        <v>392</v>
      </c>
      <c r="S21" s="38">
        <v>398</v>
      </c>
    </row>
    <row r="22" spans="1:19" s="15" customFormat="1" ht="18" customHeight="1">
      <c r="A22" s="51"/>
      <c r="B22" s="52" t="s">
        <v>34</v>
      </c>
      <c r="C22" s="53"/>
      <c r="D22" s="42">
        <f t="shared" ref="D22:Q22" si="10">SUM(D21/D8*100)</f>
        <v>20.149253731343283</v>
      </c>
      <c r="E22" s="42">
        <f t="shared" si="10"/>
        <v>26.582278481012654</v>
      </c>
      <c r="F22" s="42">
        <f t="shared" si="10"/>
        <v>40.963855421686745</v>
      </c>
      <c r="G22" s="42">
        <f t="shared" si="10"/>
        <v>26.016260162601629</v>
      </c>
      <c r="H22" s="42">
        <f t="shared" si="10"/>
        <v>26.984126984126984</v>
      </c>
      <c r="I22" s="42">
        <f t="shared" si="10"/>
        <v>25</v>
      </c>
      <c r="J22" s="42">
        <f t="shared" si="10"/>
        <v>14.285714285714285</v>
      </c>
      <c r="K22" s="42">
        <f t="shared" si="10"/>
        <v>26.881720430107524</v>
      </c>
      <c r="L22" s="42">
        <f t="shared" si="10"/>
        <v>16.363636363636363</v>
      </c>
      <c r="M22" s="42">
        <f t="shared" si="10"/>
        <v>40.55944055944056</v>
      </c>
      <c r="N22" s="42">
        <f t="shared" si="10"/>
        <v>25.373134328358208</v>
      </c>
      <c r="O22" s="42">
        <f t="shared" si="10"/>
        <v>25</v>
      </c>
      <c r="P22" s="42">
        <f t="shared" si="10"/>
        <v>33.333333333333329</v>
      </c>
      <c r="Q22" s="42">
        <f t="shared" si="10"/>
        <v>27.814088598402325</v>
      </c>
      <c r="R22" s="42">
        <v>28.405797101449277</v>
      </c>
      <c r="S22" s="43">
        <v>28.715728715728716</v>
      </c>
    </row>
    <row r="23" spans="1:19" s="57" customFormat="1" ht="25.5">
      <c r="A23" s="54">
        <v>4</v>
      </c>
      <c r="B23" s="55" t="s">
        <v>35</v>
      </c>
      <c r="C23" s="56"/>
      <c r="D23" s="13">
        <v>169</v>
      </c>
      <c r="E23" s="13">
        <v>197</v>
      </c>
      <c r="F23" s="13">
        <v>159</v>
      </c>
      <c r="G23" s="13">
        <v>214</v>
      </c>
      <c r="H23" s="13">
        <v>130</v>
      </c>
      <c r="I23" s="13">
        <v>91</v>
      </c>
      <c r="J23" s="13">
        <v>122</v>
      </c>
      <c r="K23" s="13">
        <v>182</v>
      </c>
      <c r="L23" s="13">
        <v>96</v>
      </c>
      <c r="M23" s="13">
        <v>121</v>
      </c>
      <c r="N23" s="13">
        <v>82</v>
      </c>
      <c r="O23" s="13">
        <v>66</v>
      </c>
      <c r="P23" s="13">
        <v>37</v>
      </c>
      <c r="Q23" s="44">
        <v>1661</v>
      </c>
      <c r="R23" s="44">
        <v>1618</v>
      </c>
      <c r="S23" s="14">
        <v>1672</v>
      </c>
    </row>
    <row r="24" spans="1:19" s="15" customFormat="1" ht="25.5" customHeight="1">
      <c r="A24" s="10">
        <v>5</v>
      </c>
      <c r="B24" s="11" t="s">
        <v>36</v>
      </c>
      <c r="C24" s="35"/>
      <c r="D24" s="13">
        <v>98</v>
      </c>
      <c r="E24" s="13">
        <v>102</v>
      </c>
      <c r="F24" s="13">
        <v>95</v>
      </c>
      <c r="G24" s="13">
        <v>85</v>
      </c>
      <c r="H24" s="13">
        <v>84</v>
      </c>
      <c r="I24" s="13">
        <v>53</v>
      </c>
      <c r="J24" s="13">
        <v>79</v>
      </c>
      <c r="K24" s="13">
        <v>59</v>
      </c>
      <c r="L24" s="13">
        <v>41</v>
      </c>
      <c r="M24" s="13">
        <v>81</v>
      </c>
      <c r="N24" s="13">
        <v>43</v>
      </c>
      <c r="O24" s="13">
        <v>45</v>
      </c>
      <c r="P24" s="13">
        <v>39</v>
      </c>
      <c r="Q24" s="45">
        <f t="shared" ref="Q24:Q29" si="11">SUM(D24:P24)</f>
        <v>904</v>
      </c>
      <c r="R24" s="45">
        <v>946</v>
      </c>
      <c r="S24" s="46">
        <v>922</v>
      </c>
    </row>
    <row r="25" spans="1:19" s="21" customFormat="1" ht="18" customHeight="1">
      <c r="A25" s="16"/>
      <c r="B25" s="17" t="s">
        <v>37</v>
      </c>
      <c r="C25" s="18"/>
      <c r="D25" s="13">
        <v>25</v>
      </c>
      <c r="E25" s="13">
        <v>54</v>
      </c>
      <c r="F25" s="13">
        <v>17</v>
      </c>
      <c r="G25" s="13">
        <v>81</v>
      </c>
      <c r="H25" s="13">
        <v>18</v>
      </c>
      <c r="I25" s="13">
        <v>12</v>
      </c>
      <c r="J25" s="13">
        <v>21</v>
      </c>
      <c r="K25" s="13">
        <v>80</v>
      </c>
      <c r="L25" s="13">
        <v>51</v>
      </c>
      <c r="M25" s="13">
        <v>17</v>
      </c>
      <c r="N25" s="13">
        <v>31</v>
      </c>
      <c r="O25" s="13">
        <v>8</v>
      </c>
      <c r="P25" s="13">
        <v>0</v>
      </c>
      <c r="Q25" s="37">
        <f t="shared" si="11"/>
        <v>415</v>
      </c>
      <c r="R25" s="37">
        <v>399</v>
      </c>
      <c r="S25" s="38">
        <v>427</v>
      </c>
    </row>
    <row r="26" spans="1:19" s="21" customFormat="1" ht="18" customHeight="1">
      <c r="A26" s="39"/>
      <c r="B26" s="40" t="s">
        <v>38</v>
      </c>
      <c r="C26" s="41"/>
      <c r="D26" s="59">
        <f t="shared" ref="D26:P26" si="12">SUM(D24:D25)</f>
        <v>123</v>
      </c>
      <c r="E26" s="59">
        <f t="shared" si="12"/>
        <v>156</v>
      </c>
      <c r="F26" s="59">
        <f t="shared" si="12"/>
        <v>112</v>
      </c>
      <c r="G26" s="59">
        <f t="shared" si="12"/>
        <v>166</v>
      </c>
      <c r="H26" s="59">
        <f t="shared" si="12"/>
        <v>102</v>
      </c>
      <c r="I26" s="59">
        <f>SUM(I24:I25)</f>
        <v>65</v>
      </c>
      <c r="J26" s="59">
        <f>SUM(J24:J25)</f>
        <v>100</v>
      </c>
      <c r="K26" s="59">
        <f t="shared" si="12"/>
        <v>139</v>
      </c>
      <c r="L26" s="59">
        <f t="shared" si="12"/>
        <v>92</v>
      </c>
      <c r="M26" s="59">
        <f>SUM(M24:M25)</f>
        <v>98</v>
      </c>
      <c r="N26" s="59">
        <f t="shared" si="12"/>
        <v>74</v>
      </c>
      <c r="O26" s="59">
        <f t="shared" si="12"/>
        <v>53</v>
      </c>
      <c r="P26" s="59">
        <f t="shared" si="12"/>
        <v>39</v>
      </c>
      <c r="Q26" s="59">
        <f t="shared" si="11"/>
        <v>1319</v>
      </c>
      <c r="R26" s="59">
        <v>1345</v>
      </c>
      <c r="S26" s="60">
        <v>1349</v>
      </c>
    </row>
    <row r="27" spans="1:19" s="27" customFormat="1" ht="18" customHeight="1">
      <c r="A27" s="61">
        <v>6</v>
      </c>
      <c r="B27" s="55" t="s">
        <v>39</v>
      </c>
      <c r="C27" s="56"/>
      <c r="D27" s="13">
        <v>1124082</v>
      </c>
      <c r="E27" s="13">
        <v>1430541</v>
      </c>
      <c r="F27" s="13">
        <v>950571</v>
      </c>
      <c r="G27" s="13">
        <v>1316811</v>
      </c>
      <c r="H27" s="13">
        <v>996018</v>
      </c>
      <c r="I27" s="13">
        <v>554226</v>
      </c>
      <c r="J27" s="13">
        <v>765108</v>
      </c>
      <c r="K27" s="13">
        <v>1444011</v>
      </c>
      <c r="L27" s="13">
        <v>814194</v>
      </c>
      <c r="M27" s="13">
        <v>933979.5</v>
      </c>
      <c r="N27" s="13">
        <v>575838</v>
      </c>
      <c r="O27" s="13">
        <v>497742.00000000006</v>
      </c>
      <c r="P27" s="13">
        <v>273264</v>
      </c>
      <c r="Q27" s="62">
        <v>11676385.500000002</v>
      </c>
      <c r="R27" s="62">
        <v>12065598.350000001</v>
      </c>
      <c r="S27" s="149">
        <v>12060555</v>
      </c>
    </row>
    <row r="28" spans="1:19" s="21" customFormat="1" ht="18" customHeight="1">
      <c r="A28" s="16">
        <v>7</v>
      </c>
      <c r="B28" s="17" t="s">
        <v>40</v>
      </c>
      <c r="C28" s="18"/>
      <c r="D28" s="13">
        <v>514356</v>
      </c>
      <c r="E28" s="13">
        <v>105825</v>
      </c>
      <c r="F28" s="13">
        <v>367190</v>
      </c>
      <c r="G28" s="13">
        <v>480594</v>
      </c>
      <c r="H28" s="13">
        <v>560010</v>
      </c>
      <c r="I28" s="13">
        <v>332964</v>
      </c>
      <c r="J28" s="13">
        <v>447562</v>
      </c>
      <c r="K28" s="13">
        <v>361905</v>
      </c>
      <c r="L28" s="13">
        <v>344144</v>
      </c>
      <c r="M28" s="13">
        <v>129914</v>
      </c>
      <c r="N28" s="13">
        <v>54109</v>
      </c>
      <c r="O28" s="13">
        <v>39377</v>
      </c>
      <c r="P28" s="13">
        <v>99165</v>
      </c>
      <c r="Q28" s="44">
        <f t="shared" si="11"/>
        <v>3837115</v>
      </c>
      <c r="R28" s="44">
        <v>4081017</v>
      </c>
      <c r="S28" s="14">
        <v>3436099</v>
      </c>
    </row>
    <row r="29" spans="1:19" s="21" customFormat="1" ht="18" customHeight="1">
      <c r="A29" s="16"/>
      <c r="B29" s="17" t="s">
        <v>41</v>
      </c>
      <c r="C29" s="18"/>
      <c r="D29" s="13">
        <v>80417</v>
      </c>
      <c r="E29" s="13">
        <v>535782</v>
      </c>
      <c r="F29" s="13">
        <v>109224</v>
      </c>
      <c r="G29" s="13">
        <v>0</v>
      </c>
      <c r="H29" s="13">
        <v>64251</v>
      </c>
      <c r="I29" s="13">
        <v>0</v>
      </c>
      <c r="J29" s="13">
        <v>18634</v>
      </c>
      <c r="K29" s="13">
        <v>63951</v>
      </c>
      <c r="L29" s="13">
        <v>0</v>
      </c>
      <c r="M29" s="13">
        <v>469360</v>
      </c>
      <c r="N29" s="13">
        <v>219492</v>
      </c>
      <c r="O29" s="13">
        <v>252343</v>
      </c>
      <c r="P29" s="13">
        <v>142365</v>
      </c>
      <c r="Q29" s="44">
        <f t="shared" si="11"/>
        <v>1955819</v>
      </c>
      <c r="R29" s="44">
        <v>2120009</v>
      </c>
      <c r="S29" s="14">
        <v>2240063</v>
      </c>
    </row>
    <row r="30" spans="1:19" s="21" customFormat="1" ht="18" customHeight="1">
      <c r="A30" s="16"/>
      <c r="B30" s="17" t="s">
        <v>42</v>
      </c>
      <c r="C30" s="18"/>
      <c r="D30" s="13">
        <f t="shared" ref="D30:Q30" si="13">SUM(D28:D29)</f>
        <v>594773</v>
      </c>
      <c r="E30" s="13">
        <f t="shared" si="13"/>
        <v>641607</v>
      </c>
      <c r="F30" s="13">
        <f t="shared" si="13"/>
        <v>476414</v>
      </c>
      <c r="G30" s="13">
        <f t="shared" si="13"/>
        <v>480594</v>
      </c>
      <c r="H30" s="13">
        <f t="shared" si="13"/>
        <v>624261</v>
      </c>
      <c r="I30" s="13">
        <f t="shared" si="13"/>
        <v>332964</v>
      </c>
      <c r="J30" s="13">
        <f t="shared" si="13"/>
        <v>466196</v>
      </c>
      <c r="K30" s="13">
        <f t="shared" si="13"/>
        <v>425856</v>
      </c>
      <c r="L30" s="13">
        <f t="shared" si="13"/>
        <v>344144</v>
      </c>
      <c r="M30" s="13">
        <f t="shared" si="13"/>
        <v>599274</v>
      </c>
      <c r="N30" s="13">
        <f t="shared" si="13"/>
        <v>273601</v>
      </c>
      <c r="O30" s="13">
        <f t="shared" si="13"/>
        <v>291720</v>
      </c>
      <c r="P30" s="13">
        <f t="shared" si="13"/>
        <v>241530</v>
      </c>
      <c r="Q30" s="63">
        <f t="shared" si="13"/>
        <v>5792934</v>
      </c>
      <c r="R30" s="63">
        <v>6201026</v>
      </c>
      <c r="S30" s="20">
        <v>5676162</v>
      </c>
    </row>
    <row r="31" spans="1:19" s="21" customFormat="1" ht="18" customHeight="1">
      <c r="A31" s="64"/>
      <c r="B31" s="17" t="s">
        <v>43</v>
      </c>
      <c r="C31" s="18"/>
      <c r="D31" s="13">
        <f>44334+111393</f>
        <v>155727</v>
      </c>
      <c r="E31" s="13">
        <v>411528</v>
      </c>
      <c r="F31" s="13">
        <f>70402+20363</f>
        <v>90765</v>
      </c>
      <c r="G31" s="13">
        <f>300827+190127</f>
        <v>490954</v>
      </c>
      <c r="H31" s="13">
        <v>106715</v>
      </c>
      <c r="I31" s="13">
        <f>63021+5707</f>
        <v>68728</v>
      </c>
      <c r="J31" s="13">
        <f>121997</f>
        <v>121997</v>
      </c>
      <c r="K31" s="13">
        <f>207999+295574</f>
        <v>503573</v>
      </c>
      <c r="L31" s="13">
        <f>55944+345902</f>
        <v>401846</v>
      </c>
      <c r="M31" s="13">
        <f>73221+51952</f>
        <v>125173</v>
      </c>
      <c r="N31" s="13">
        <f>42442+59860</f>
        <v>102302</v>
      </c>
      <c r="O31" s="13">
        <f>35523+14904</f>
        <v>50427</v>
      </c>
      <c r="P31" s="13">
        <v>0</v>
      </c>
      <c r="Q31" s="45">
        <f>SUM(D31:P31)</f>
        <v>2629735</v>
      </c>
      <c r="R31" s="37">
        <v>2947901</v>
      </c>
      <c r="S31" s="46">
        <v>2762235</v>
      </c>
    </row>
    <row r="32" spans="1:19" s="21" customFormat="1" ht="18" customHeight="1">
      <c r="A32" s="64"/>
      <c r="B32" s="17" t="s">
        <v>153</v>
      </c>
      <c r="C32" s="18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73355</v>
      </c>
      <c r="L32" s="13">
        <v>0</v>
      </c>
      <c r="M32" s="13">
        <v>0</v>
      </c>
      <c r="N32" s="13">
        <v>101235</v>
      </c>
      <c r="O32" s="13">
        <v>0</v>
      </c>
      <c r="P32" s="13">
        <v>0</v>
      </c>
      <c r="Q32" s="45">
        <f>SUM(D32:P32)</f>
        <v>174590</v>
      </c>
      <c r="R32" s="137">
        <v>0</v>
      </c>
      <c r="S32" s="38">
        <v>0</v>
      </c>
    </row>
    <row r="33" spans="1:19" s="21" customFormat="1" ht="18" customHeight="1">
      <c r="A33" s="64"/>
      <c r="B33" s="17" t="s">
        <v>150</v>
      </c>
      <c r="C33" s="18"/>
      <c r="D33" s="13">
        <f>SUM(D31:D32)</f>
        <v>155727</v>
      </c>
      <c r="E33" s="13">
        <f t="shared" ref="E33:S33" si="14">SUM(E31:E32)</f>
        <v>411528</v>
      </c>
      <c r="F33" s="13">
        <f t="shared" si="14"/>
        <v>90765</v>
      </c>
      <c r="G33" s="13">
        <f t="shared" si="14"/>
        <v>490954</v>
      </c>
      <c r="H33" s="13">
        <f t="shared" si="14"/>
        <v>106715</v>
      </c>
      <c r="I33" s="13">
        <f t="shared" si="14"/>
        <v>68728</v>
      </c>
      <c r="J33" s="13">
        <f t="shared" si="14"/>
        <v>121997</v>
      </c>
      <c r="K33" s="13">
        <f t="shared" si="14"/>
        <v>576928</v>
      </c>
      <c r="L33" s="13">
        <f t="shared" si="14"/>
        <v>401846</v>
      </c>
      <c r="M33" s="13">
        <f t="shared" si="14"/>
        <v>125173</v>
      </c>
      <c r="N33" s="13">
        <f t="shared" si="14"/>
        <v>203537</v>
      </c>
      <c r="O33" s="13">
        <f t="shared" si="14"/>
        <v>50427</v>
      </c>
      <c r="P33" s="13">
        <f t="shared" si="14"/>
        <v>0</v>
      </c>
      <c r="Q33" s="13">
        <f t="shared" si="14"/>
        <v>2804325</v>
      </c>
      <c r="R33" s="37">
        <f>R31+R32</f>
        <v>2947901</v>
      </c>
      <c r="S33" s="58">
        <f t="shared" si="14"/>
        <v>2762235</v>
      </c>
    </row>
    <row r="34" spans="1:19" s="27" customFormat="1" ht="25.5">
      <c r="A34" s="65"/>
      <c r="B34" s="66" t="s">
        <v>152</v>
      </c>
      <c r="C34" s="67"/>
      <c r="D34" s="68">
        <f>D30+D33</f>
        <v>750500</v>
      </c>
      <c r="E34" s="68">
        <f t="shared" ref="E34:S34" si="15">E30+E33</f>
        <v>1053135</v>
      </c>
      <c r="F34" s="68">
        <f t="shared" si="15"/>
        <v>567179</v>
      </c>
      <c r="G34" s="68">
        <f t="shared" si="15"/>
        <v>971548</v>
      </c>
      <c r="H34" s="68">
        <f t="shared" si="15"/>
        <v>730976</v>
      </c>
      <c r="I34" s="68">
        <f t="shared" si="15"/>
        <v>401692</v>
      </c>
      <c r="J34" s="68">
        <f t="shared" si="15"/>
        <v>588193</v>
      </c>
      <c r="K34" s="68">
        <f t="shared" si="15"/>
        <v>1002784</v>
      </c>
      <c r="L34" s="68">
        <f t="shared" si="15"/>
        <v>745990</v>
      </c>
      <c r="M34" s="68">
        <f t="shared" si="15"/>
        <v>724447</v>
      </c>
      <c r="N34" s="68">
        <f t="shared" si="15"/>
        <v>477138</v>
      </c>
      <c r="O34" s="68">
        <f t="shared" si="15"/>
        <v>342147</v>
      </c>
      <c r="P34" s="68">
        <f t="shared" si="15"/>
        <v>241530</v>
      </c>
      <c r="Q34" s="68">
        <f t="shared" si="15"/>
        <v>8597259</v>
      </c>
      <c r="R34" s="68">
        <f>R33+R30</f>
        <v>9148927</v>
      </c>
      <c r="S34" s="69">
        <f t="shared" si="15"/>
        <v>8438397</v>
      </c>
    </row>
    <row r="35" spans="1:19" s="21" customFormat="1" ht="18" customHeight="1">
      <c r="A35" s="28"/>
      <c r="B35" s="11" t="s">
        <v>44</v>
      </c>
      <c r="C35" s="29"/>
      <c r="D35" s="45">
        <f>D34/C5</f>
        <v>25016.666666666668</v>
      </c>
      <c r="E35" s="45">
        <f>E34/C5</f>
        <v>35104.5</v>
      </c>
      <c r="F35" s="45">
        <f>F34/C5</f>
        <v>18905.966666666667</v>
      </c>
      <c r="G35" s="45">
        <f>G34/C5</f>
        <v>32384.933333333334</v>
      </c>
      <c r="H35" s="45">
        <f>H34/C5</f>
        <v>24365.866666666665</v>
      </c>
      <c r="I35" s="45">
        <f>I34/C5</f>
        <v>13389.733333333334</v>
      </c>
      <c r="J35" s="45">
        <f>J34/C5</f>
        <v>19606.433333333334</v>
      </c>
      <c r="K35" s="45">
        <f>K34/C5</f>
        <v>33426.133333333331</v>
      </c>
      <c r="L35" s="45">
        <f>L34/C5</f>
        <v>24866.333333333332</v>
      </c>
      <c r="M35" s="45">
        <f>M34/C5</f>
        <v>24148.233333333334</v>
      </c>
      <c r="N35" s="45">
        <f>N34/C5</f>
        <v>15904.6</v>
      </c>
      <c r="O35" s="45">
        <f>O34/C5</f>
        <v>11404.9</v>
      </c>
      <c r="P35" s="45">
        <f>P34/C5</f>
        <v>8051</v>
      </c>
      <c r="Q35" s="45">
        <f>Q34/C5</f>
        <v>286575.3</v>
      </c>
      <c r="R35" s="37">
        <v>295126.67741935485</v>
      </c>
      <c r="S35" s="46">
        <v>281279.90000000002</v>
      </c>
    </row>
    <row r="36" spans="1:19" s="21" customFormat="1" ht="18" customHeight="1" thickBot="1">
      <c r="A36" s="70"/>
      <c r="B36" s="71" t="s">
        <v>45</v>
      </c>
      <c r="C36" s="72"/>
      <c r="D36" s="73">
        <f t="shared" ref="D36:Q36" si="16">SUM((D35)/D17)</f>
        <v>196.98162729658793</v>
      </c>
      <c r="E36" s="73">
        <f t="shared" si="16"/>
        <v>214.05182926829269</v>
      </c>
      <c r="F36" s="73">
        <f t="shared" si="16"/>
        <v>165.84181286549708</v>
      </c>
      <c r="G36" s="73">
        <f t="shared" si="16"/>
        <v>190.49960784313726</v>
      </c>
      <c r="H36" s="73">
        <f t="shared" si="16"/>
        <v>227.71838006230527</v>
      </c>
      <c r="I36" s="73">
        <f t="shared" si="16"/>
        <v>202.87474747474747</v>
      </c>
      <c r="J36" s="73">
        <f t="shared" si="16"/>
        <v>192.21993464052289</v>
      </c>
      <c r="K36" s="73">
        <f t="shared" si="16"/>
        <v>235.39530516431924</v>
      </c>
      <c r="L36" s="73">
        <f t="shared" si="16"/>
        <v>264.53546099290782</v>
      </c>
      <c r="M36" s="73">
        <f t="shared" si="16"/>
        <v>241.48233333333334</v>
      </c>
      <c r="N36" s="73">
        <f t="shared" si="16"/>
        <v>212.06133333333335</v>
      </c>
      <c r="O36" s="73">
        <f t="shared" si="16"/>
        <v>211.20185185185184</v>
      </c>
      <c r="P36" s="73">
        <f t="shared" si="16"/>
        <v>201.27500000000001</v>
      </c>
      <c r="Q36" s="73">
        <f t="shared" si="16"/>
        <v>211.49468634686346</v>
      </c>
      <c r="R36" s="73">
        <v>213.39600681081333</v>
      </c>
      <c r="S36" s="74">
        <v>206.36823184152607</v>
      </c>
    </row>
    <row r="37" spans="1:19" s="21" customFormat="1" ht="18" customHeight="1" thickTop="1">
      <c r="A37" s="28">
        <v>8</v>
      </c>
      <c r="B37" s="11" t="s">
        <v>46</v>
      </c>
      <c r="C37" s="2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14"/>
    </row>
    <row r="38" spans="1:19" s="21" customFormat="1" ht="18" customHeight="1">
      <c r="A38" s="64"/>
      <c r="B38" s="17" t="s">
        <v>47</v>
      </c>
      <c r="C38" s="18"/>
      <c r="D38" s="13">
        <v>6048</v>
      </c>
      <c r="E38" s="13">
        <v>2396</v>
      </c>
      <c r="F38" s="13">
        <v>11756</v>
      </c>
      <c r="G38" s="13">
        <v>14355</v>
      </c>
      <c r="H38" s="13">
        <v>5152</v>
      </c>
      <c r="I38" s="13">
        <v>7406</v>
      </c>
      <c r="J38" s="13">
        <v>4980</v>
      </c>
      <c r="K38" s="13">
        <v>5011</v>
      </c>
      <c r="L38" s="13">
        <v>3918</v>
      </c>
      <c r="M38" s="13">
        <v>2500</v>
      </c>
      <c r="N38" s="13">
        <v>963</v>
      </c>
      <c r="O38" s="13">
        <v>630</v>
      </c>
      <c r="P38" s="13">
        <v>2251</v>
      </c>
      <c r="Q38" s="37">
        <f>SUM(D38:P38)</f>
        <v>67366</v>
      </c>
      <c r="R38" s="97">
        <v>71774</v>
      </c>
      <c r="S38" s="38">
        <v>69446</v>
      </c>
    </row>
    <row r="39" spans="1:19" s="21" customFormat="1" ht="18" customHeight="1">
      <c r="A39" s="64"/>
      <c r="B39" s="17" t="s">
        <v>48</v>
      </c>
      <c r="C39" s="18"/>
      <c r="D39" s="13">
        <v>1014</v>
      </c>
      <c r="E39" s="13">
        <v>17276</v>
      </c>
      <c r="F39" s="13">
        <v>8928</v>
      </c>
      <c r="G39" s="13">
        <v>0</v>
      </c>
      <c r="H39" s="13">
        <v>770</v>
      </c>
      <c r="I39" s="13">
        <v>0</v>
      </c>
      <c r="J39" s="13">
        <v>780</v>
      </c>
      <c r="K39" s="13">
        <v>991</v>
      </c>
      <c r="L39" s="13">
        <v>0</v>
      </c>
      <c r="M39" s="13">
        <v>3064</v>
      </c>
      <c r="N39" s="13">
        <v>3732</v>
      </c>
      <c r="O39" s="13">
        <v>3909</v>
      </c>
      <c r="P39" s="13">
        <v>5473</v>
      </c>
      <c r="Q39" s="37">
        <f>SUM(D39:P39)</f>
        <v>45937</v>
      </c>
      <c r="R39" s="44">
        <v>49467</v>
      </c>
      <c r="S39" s="38">
        <v>59630</v>
      </c>
    </row>
    <row r="40" spans="1:19" s="21" customFormat="1" ht="18" customHeight="1">
      <c r="A40" s="64"/>
      <c r="B40" s="17" t="s">
        <v>49</v>
      </c>
      <c r="C40" s="67"/>
      <c r="D40" s="75">
        <f t="shared" ref="D40:P40" si="17">SUM(D38:D39)</f>
        <v>7062</v>
      </c>
      <c r="E40" s="75">
        <f t="shared" si="17"/>
        <v>19672</v>
      </c>
      <c r="F40" s="75">
        <f t="shared" si="17"/>
        <v>20684</v>
      </c>
      <c r="G40" s="75">
        <f t="shared" si="17"/>
        <v>14355</v>
      </c>
      <c r="H40" s="75">
        <f t="shared" si="17"/>
        <v>5922</v>
      </c>
      <c r="I40" s="75">
        <f>SUM(I38:I39)</f>
        <v>7406</v>
      </c>
      <c r="J40" s="75">
        <f>SUM(J38:J39)</f>
        <v>5760</v>
      </c>
      <c r="K40" s="75">
        <f t="shared" si="17"/>
        <v>6002</v>
      </c>
      <c r="L40" s="75">
        <f t="shared" si="17"/>
        <v>3918</v>
      </c>
      <c r="M40" s="75">
        <f>SUM(M38:M39)</f>
        <v>5564</v>
      </c>
      <c r="N40" s="75">
        <f t="shared" si="17"/>
        <v>4695</v>
      </c>
      <c r="O40" s="75">
        <f t="shared" si="17"/>
        <v>4539</v>
      </c>
      <c r="P40" s="75">
        <f t="shared" si="17"/>
        <v>7724</v>
      </c>
      <c r="Q40" s="68">
        <f>SUM(D40:P40)</f>
        <v>113303</v>
      </c>
      <c r="R40" s="37">
        <v>121241</v>
      </c>
      <c r="S40" s="38">
        <v>129076</v>
      </c>
    </row>
    <row r="41" spans="1:19" s="21" customFormat="1" ht="18" customHeight="1">
      <c r="A41" s="16"/>
      <c r="B41" s="17" t="s">
        <v>50</v>
      </c>
      <c r="C41" s="18"/>
      <c r="D41" s="63">
        <f t="shared" ref="D41:P41" si="18">ROUND((D38)/$C5,0)</f>
        <v>202</v>
      </c>
      <c r="E41" s="63">
        <f t="shared" si="18"/>
        <v>80</v>
      </c>
      <c r="F41" s="63">
        <f t="shared" si="18"/>
        <v>392</v>
      </c>
      <c r="G41" s="63">
        <f t="shared" si="18"/>
        <v>479</v>
      </c>
      <c r="H41" s="63">
        <f t="shared" si="18"/>
        <v>172</v>
      </c>
      <c r="I41" s="63">
        <f t="shared" si="18"/>
        <v>247</v>
      </c>
      <c r="J41" s="63">
        <f t="shared" si="18"/>
        <v>166</v>
      </c>
      <c r="K41" s="63">
        <f t="shared" si="18"/>
        <v>167</v>
      </c>
      <c r="L41" s="63">
        <f t="shared" si="18"/>
        <v>131</v>
      </c>
      <c r="M41" s="63">
        <f t="shared" si="18"/>
        <v>83</v>
      </c>
      <c r="N41" s="63">
        <f t="shared" si="18"/>
        <v>32</v>
      </c>
      <c r="O41" s="63">
        <f t="shared" si="18"/>
        <v>21</v>
      </c>
      <c r="P41" s="63">
        <f t="shared" si="18"/>
        <v>75</v>
      </c>
      <c r="Q41" s="37">
        <f>Q38/C5</f>
        <v>2245.5333333333333</v>
      </c>
      <c r="R41" s="37">
        <v>2315.2903225806454</v>
      </c>
      <c r="S41" s="38">
        <v>2314.8666666666668</v>
      </c>
    </row>
    <row r="42" spans="1:19" s="21" customFormat="1" ht="18" customHeight="1">
      <c r="A42" s="16"/>
      <c r="B42" s="17" t="s">
        <v>51</v>
      </c>
      <c r="C42" s="18"/>
      <c r="D42" s="37">
        <f>SUM(D39/C5)</f>
        <v>33.799999999999997</v>
      </c>
      <c r="E42" s="37">
        <f>SUM(E39/C5)</f>
        <v>575.86666666666667</v>
      </c>
      <c r="F42" s="37">
        <f>SUM(F39/C5)</f>
        <v>297.60000000000002</v>
      </c>
      <c r="G42" s="37">
        <f>SUM(G39/C5)</f>
        <v>0</v>
      </c>
      <c r="H42" s="37">
        <f>SUM(H39/C5)</f>
        <v>25.666666666666668</v>
      </c>
      <c r="I42" s="37">
        <f>SUM(I39/C5)</f>
        <v>0</v>
      </c>
      <c r="J42" s="37">
        <f>SUM(J39/C5)</f>
        <v>26</v>
      </c>
      <c r="K42" s="37">
        <f>SUM(K39/C5)</f>
        <v>33.033333333333331</v>
      </c>
      <c r="L42" s="37">
        <f>SUM(L39/C5)</f>
        <v>0</v>
      </c>
      <c r="M42" s="37">
        <f>SUM(M39/C5)</f>
        <v>102.13333333333334</v>
      </c>
      <c r="N42" s="37">
        <f>SUM(N39/C5)</f>
        <v>124.4</v>
      </c>
      <c r="O42" s="37">
        <f>SUM(O39/C5)</f>
        <v>130.30000000000001</v>
      </c>
      <c r="P42" s="37">
        <f>SUM(P39/C5)</f>
        <v>182.43333333333334</v>
      </c>
      <c r="Q42" s="37">
        <f>Q39/C5</f>
        <v>1531.2333333333333</v>
      </c>
      <c r="R42" s="37">
        <v>1595.7096774193549</v>
      </c>
      <c r="S42" s="38">
        <v>1987.6666666666667</v>
      </c>
    </row>
    <row r="43" spans="1:19" s="21" customFormat="1" ht="25.5">
      <c r="A43" s="16"/>
      <c r="B43" s="17" t="s">
        <v>52</v>
      </c>
      <c r="C43" s="18"/>
      <c r="D43" s="37">
        <f t="shared" ref="D43:P43" si="19">SUM(D41:D42)</f>
        <v>235.8</v>
      </c>
      <c r="E43" s="37">
        <f t="shared" si="19"/>
        <v>655.86666666666667</v>
      </c>
      <c r="F43" s="37">
        <f t="shared" si="19"/>
        <v>689.6</v>
      </c>
      <c r="G43" s="37">
        <f t="shared" si="19"/>
        <v>479</v>
      </c>
      <c r="H43" s="37">
        <f t="shared" si="19"/>
        <v>197.66666666666666</v>
      </c>
      <c r="I43" s="37">
        <f>SUM(I41:I42)</f>
        <v>247</v>
      </c>
      <c r="J43" s="37">
        <f>SUM(J41:J42)</f>
        <v>192</v>
      </c>
      <c r="K43" s="37">
        <f t="shared" si="19"/>
        <v>200.03333333333333</v>
      </c>
      <c r="L43" s="37">
        <f t="shared" si="19"/>
        <v>131</v>
      </c>
      <c r="M43" s="37">
        <f>SUM(M41:M42)</f>
        <v>185.13333333333333</v>
      </c>
      <c r="N43" s="37">
        <f t="shared" si="19"/>
        <v>156.4</v>
      </c>
      <c r="O43" s="37">
        <f t="shared" si="19"/>
        <v>151.30000000000001</v>
      </c>
      <c r="P43" s="37">
        <f t="shared" si="19"/>
        <v>257.43333333333334</v>
      </c>
      <c r="Q43" s="37">
        <f>Q40/C5</f>
        <v>3776.7666666666669</v>
      </c>
      <c r="R43" s="37">
        <v>3911</v>
      </c>
      <c r="S43" s="38">
        <v>4302.5333333333338</v>
      </c>
    </row>
    <row r="44" spans="1:19" s="21" customFormat="1" ht="18" customHeight="1">
      <c r="A44" s="16"/>
      <c r="B44" s="17" t="s">
        <v>53</v>
      </c>
      <c r="C44" s="18"/>
      <c r="D44" s="13">
        <v>11500</v>
      </c>
      <c r="E44" s="13">
        <v>16680</v>
      </c>
      <c r="F44" s="13">
        <v>14870</v>
      </c>
      <c r="G44" s="13">
        <v>12990</v>
      </c>
      <c r="H44" s="13">
        <v>5580</v>
      </c>
      <c r="I44" s="13">
        <v>6480</v>
      </c>
      <c r="J44" s="13">
        <v>2180</v>
      </c>
      <c r="K44" s="13">
        <v>4620</v>
      </c>
      <c r="L44" s="13">
        <v>3360</v>
      </c>
      <c r="M44" s="13">
        <v>9000</v>
      </c>
      <c r="N44" s="13">
        <v>1800</v>
      </c>
      <c r="O44" s="13">
        <v>1800</v>
      </c>
      <c r="P44" s="13">
        <v>3364</v>
      </c>
      <c r="Q44" s="76">
        <f>SUM(D44:P44)</f>
        <v>94224</v>
      </c>
      <c r="R44" s="37">
        <v>101151</v>
      </c>
      <c r="S44" s="117">
        <v>97867</v>
      </c>
    </row>
    <row r="45" spans="1:19" s="21" customFormat="1" ht="18" customHeight="1">
      <c r="A45" s="77"/>
      <c r="B45" s="78" t="s">
        <v>54</v>
      </c>
      <c r="C45" s="79"/>
      <c r="D45" s="80">
        <f t="shared" ref="D45:P45" si="20">ROUND((D44)/$C5,0)</f>
        <v>383</v>
      </c>
      <c r="E45" s="80">
        <f t="shared" si="20"/>
        <v>556</v>
      </c>
      <c r="F45" s="80">
        <f t="shared" si="20"/>
        <v>496</v>
      </c>
      <c r="G45" s="80">
        <f t="shared" si="20"/>
        <v>433</v>
      </c>
      <c r="H45" s="80">
        <f t="shared" si="20"/>
        <v>186</v>
      </c>
      <c r="I45" s="80">
        <f t="shared" si="20"/>
        <v>216</v>
      </c>
      <c r="J45" s="80">
        <f t="shared" si="20"/>
        <v>73</v>
      </c>
      <c r="K45" s="80">
        <f t="shared" si="20"/>
        <v>154</v>
      </c>
      <c r="L45" s="80">
        <f t="shared" si="20"/>
        <v>112</v>
      </c>
      <c r="M45" s="80">
        <f t="shared" si="20"/>
        <v>300</v>
      </c>
      <c r="N45" s="80">
        <f t="shared" si="20"/>
        <v>60</v>
      </c>
      <c r="O45" s="80">
        <f t="shared" si="20"/>
        <v>60</v>
      </c>
      <c r="P45" s="80">
        <f t="shared" si="20"/>
        <v>112</v>
      </c>
      <c r="Q45" s="59">
        <f>Q44/C5</f>
        <v>3140.8</v>
      </c>
      <c r="R45" s="59">
        <v>3262.9354838709678</v>
      </c>
      <c r="S45" s="60">
        <v>3262.2333333333331</v>
      </c>
    </row>
    <row r="46" spans="1:19" ht="18" customHeight="1">
      <c r="A46" s="81">
        <v>9</v>
      </c>
      <c r="B46" s="82" t="s">
        <v>55</v>
      </c>
      <c r="C46" s="83"/>
      <c r="D46" s="13">
        <v>531904</v>
      </c>
      <c r="E46" s="13">
        <v>108221</v>
      </c>
      <c r="F46" s="13">
        <v>393549</v>
      </c>
      <c r="G46" s="13">
        <v>507939</v>
      </c>
      <c r="H46" s="13">
        <v>570742</v>
      </c>
      <c r="I46" s="13">
        <v>346850</v>
      </c>
      <c r="J46" s="13">
        <v>454722</v>
      </c>
      <c r="K46" s="13">
        <v>371476</v>
      </c>
      <c r="L46" s="13">
        <v>351422</v>
      </c>
      <c r="M46" s="13">
        <v>132414</v>
      </c>
      <c r="N46" s="13">
        <v>55372</v>
      </c>
      <c r="O46" s="13">
        <v>40907</v>
      </c>
      <c r="P46" s="13">
        <v>103580</v>
      </c>
      <c r="Q46" s="45">
        <f>SUM(D46:P46)</f>
        <v>3969098</v>
      </c>
      <c r="R46" s="169">
        <v>4223394</v>
      </c>
      <c r="S46" s="46">
        <v>3567150</v>
      </c>
    </row>
    <row r="47" spans="1:19" ht="18" customHeight="1">
      <c r="A47" s="16"/>
      <c r="B47" s="11" t="s">
        <v>56</v>
      </c>
      <c r="C47" s="18"/>
      <c r="D47" s="13">
        <v>81431</v>
      </c>
      <c r="E47" s="13">
        <v>569738</v>
      </c>
      <c r="F47" s="13">
        <v>118419</v>
      </c>
      <c r="G47" s="13">
        <v>0</v>
      </c>
      <c r="H47" s="13">
        <v>65021</v>
      </c>
      <c r="I47" s="13">
        <v>0</v>
      </c>
      <c r="J47" s="13">
        <v>19414</v>
      </c>
      <c r="K47" s="13">
        <v>65002</v>
      </c>
      <c r="L47" s="13">
        <v>0</v>
      </c>
      <c r="M47" s="13">
        <v>481424</v>
      </c>
      <c r="N47" s="13">
        <v>224724</v>
      </c>
      <c r="O47" s="13">
        <v>257152</v>
      </c>
      <c r="P47" s="13">
        <v>149037</v>
      </c>
      <c r="Q47" s="37">
        <f>SUM(D47:P47)</f>
        <v>2031362</v>
      </c>
      <c r="R47" s="37">
        <v>2200024</v>
      </c>
      <c r="S47" s="38">
        <v>2335955</v>
      </c>
    </row>
    <row r="48" spans="1:19" s="57" customFormat="1" ht="25.5">
      <c r="A48" s="54"/>
      <c r="B48" s="55" t="s">
        <v>57</v>
      </c>
      <c r="C48" s="56"/>
      <c r="D48" s="84">
        <f t="shared" ref="D48:P48" si="21">SUM(D46:D47)</f>
        <v>613335</v>
      </c>
      <c r="E48" s="84">
        <f t="shared" si="21"/>
        <v>677959</v>
      </c>
      <c r="F48" s="84">
        <f t="shared" si="21"/>
        <v>511968</v>
      </c>
      <c r="G48" s="84">
        <f t="shared" si="21"/>
        <v>507939</v>
      </c>
      <c r="H48" s="84">
        <f t="shared" si="21"/>
        <v>635763</v>
      </c>
      <c r="I48" s="84">
        <f>SUM(I46:I47)</f>
        <v>346850</v>
      </c>
      <c r="J48" s="84">
        <f>SUM(J46:J47)</f>
        <v>474136</v>
      </c>
      <c r="K48" s="84">
        <f t="shared" si="21"/>
        <v>436478</v>
      </c>
      <c r="L48" s="84">
        <f t="shared" si="21"/>
        <v>351422</v>
      </c>
      <c r="M48" s="84">
        <f>SUM(M46:M47)</f>
        <v>613838</v>
      </c>
      <c r="N48" s="84">
        <f t="shared" si="21"/>
        <v>280096</v>
      </c>
      <c r="O48" s="84">
        <f t="shared" si="21"/>
        <v>298059</v>
      </c>
      <c r="P48" s="84">
        <f t="shared" si="21"/>
        <v>252617</v>
      </c>
      <c r="Q48" s="85">
        <f>SUM(D48:P48)</f>
        <v>6000460</v>
      </c>
      <c r="R48" s="170">
        <v>6423418</v>
      </c>
      <c r="S48" s="172">
        <v>5903105</v>
      </c>
    </row>
    <row r="49" spans="1:19" ht="25.5">
      <c r="A49" s="28"/>
      <c r="B49" s="11" t="s">
        <v>58</v>
      </c>
      <c r="C49" s="29"/>
      <c r="D49" s="45">
        <f>SUM(D46/C5)</f>
        <v>17730.133333333335</v>
      </c>
      <c r="E49" s="45">
        <f>SUM(E46/C5)</f>
        <v>3607.3666666666668</v>
      </c>
      <c r="F49" s="45">
        <f>SUM(F46/C5)</f>
        <v>13118.3</v>
      </c>
      <c r="G49" s="45">
        <f>SUM(G46/C5)</f>
        <v>16931.3</v>
      </c>
      <c r="H49" s="45">
        <f>SUM(H46/C5)</f>
        <v>19024.733333333334</v>
      </c>
      <c r="I49" s="45">
        <f>SUM(I46/C5)</f>
        <v>11561.666666666666</v>
      </c>
      <c r="J49" s="45">
        <f>SUM(J46/C5)</f>
        <v>15157.4</v>
      </c>
      <c r="K49" s="45">
        <f>SUM(K46/C5)</f>
        <v>12382.533333333333</v>
      </c>
      <c r="L49" s="45">
        <f>SUM(L46/C5)</f>
        <v>11714.066666666668</v>
      </c>
      <c r="M49" s="45">
        <f>SUM(M46/C5)</f>
        <v>4413.8</v>
      </c>
      <c r="N49" s="45">
        <f>SUM(N46/C5)</f>
        <v>1845.7333333333333</v>
      </c>
      <c r="O49" s="45">
        <f>SUM(O46/C5)</f>
        <v>1363.5666666666666</v>
      </c>
      <c r="P49" s="45">
        <f>SUM(P46/C5)</f>
        <v>3452.6666666666665</v>
      </c>
      <c r="Q49" s="45">
        <f>Q46/C5</f>
        <v>132303.26666666666</v>
      </c>
      <c r="R49" s="37">
        <v>136238.51612903227</v>
      </c>
      <c r="S49" s="46">
        <v>118905</v>
      </c>
    </row>
    <row r="50" spans="1:19" ht="18" customHeight="1">
      <c r="A50" s="16"/>
      <c r="B50" s="11" t="s">
        <v>59</v>
      </c>
      <c r="C50" s="18"/>
      <c r="D50" s="37">
        <f>SUM(D47/C5)</f>
        <v>2714.3666666666668</v>
      </c>
      <c r="E50" s="37">
        <f>SUM(E47/C5)</f>
        <v>18991.266666666666</v>
      </c>
      <c r="F50" s="37">
        <f>SUM(F47/C5)</f>
        <v>3947.3</v>
      </c>
      <c r="G50" s="37">
        <f>SUM(G47/C5)</f>
        <v>0</v>
      </c>
      <c r="H50" s="37">
        <f>SUM(H47/C5)</f>
        <v>2167.3666666666668</v>
      </c>
      <c r="I50" s="37">
        <f>SUM(I47/C5)</f>
        <v>0</v>
      </c>
      <c r="J50" s="37">
        <f>SUM(J47/C5)</f>
        <v>647.13333333333333</v>
      </c>
      <c r="K50" s="37">
        <f>SUM(K47/C5)</f>
        <v>2166.7333333333331</v>
      </c>
      <c r="L50" s="37">
        <f>SUM(L47/H5)</f>
        <v>0</v>
      </c>
      <c r="M50" s="37">
        <f>SUM(M47/C5)</f>
        <v>16047.466666666667</v>
      </c>
      <c r="N50" s="37">
        <f>SUM(N47/C5)</f>
        <v>7490.8</v>
      </c>
      <c r="O50" s="37">
        <f>SUM(O47/C5)</f>
        <v>8571.7333333333336</v>
      </c>
      <c r="P50" s="37">
        <f>SUM(P47/C5)</f>
        <v>4967.8999999999996</v>
      </c>
      <c r="Q50" s="37">
        <f>Q47/C5</f>
        <v>67712.066666666666</v>
      </c>
      <c r="R50" s="36">
        <v>70968.516129032258</v>
      </c>
      <c r="S50" s="38">
        <v>77865.166666666672</v>
      </c>
    </row>
    <row r="51" spans="1:19" ht="18" customHeight="1">
      <c r="A51" s="39"/>
      <c r="B51" s="40" t="s">
        <v>60</v>
      </c>
      <c r="C51" s="41"/>
      <c r="D51" s="59">
        <f t="shared" ref="D51:P51" si="22">SUM(D49:D50)</f>
        <v>20444.5</v>
      </c>
      <c r="E51" s="59">
        <f t="shared" si="22"/>
        <v>22598.633333333331</v>
      </c>
      <c r="F51" s="59">
        <f t="shared" si="22"/>
        <v>17065.599999999999</v>
      </c>
      <c r="G51" s="59">
        <f t="shared" si="22"/>
        <v>16931.3</v>
      </c>
      <c r="H51" s="59">
        <f t="shared" si="22"/>
        <v>21192.1</v>
      </c>
      <c r="I51" s="59">
        <f>SUM(I49:I50)</f>
        <v>11561.666666666666</v>
      </c>
      <c r="J51" s="59">
        <f>SUM(J49:J50)</f>
        <v>15804.533333333333</v>
      </c>
      <c r="K51" s="59">
        <f t="shared" si="22"/>
        <v>14549.266666666666</v>
      </c>
      <c r="L51" s="59">
        <f t="shared" si="22"/>
        <v>11714.066666666668</v>
      </c>
      <c r="M51" s="59">
        <f>SUM(M49:M50)</f>
        <v>20461.266666666666</v>
      </c>
      <c r="N51" s="59">
        <f t="shared" si="22"/>
        <v>9336.5333333333328</v>
      </c>
      <c r="O51" s="59">
        <f t="shared" si="22"/>
        <v>9935.2999999999993</v>
      </c>
      <c r="P51" s="59">
        <f t="shared" si="22"/>
        <v>8420.5666666666657</v>
      </c>
      <c r="Q51" s="59">
        <f>Q48/C5</f>
        <v>200015.33333333334</v>
      </c>
      <c r="R51" s="59">
        <v>207207.03225806452</v>
      </c>
      <c r="S51" s="60">
        <v>196770.16666666666</v>
      </c>
    </row>
    <row r="52" spans="1:19" s="33" customFormat="1" ht="18" customHeight="1">
      <c r="A52" s="65">
        <v>10</v>
      </c>
      <c r="B52" s="66" t="s">
        <v>61</v>
      </c>
      <c r="C52" s="86"/>
      <c r="D52" s="45">
        <f t="shared" ref="D52:Q52" si="23">D27-D34</f>
        <v>373582</v>
      </c>
      <c r="E52" s="45">
        <f t="shared" si="23"/>
        <v>377406</v>
      </c>
      <c r="F52" s="45">
        <f t="shared" si="23"/>
        <v>383392</v>
      </c>
      <c r="G52" s="45">
        <f t="shared" si="23"/>
        <v>345263</v>
      </c>
      <c r="H52" s="45">
        <f t="shared" si="23"/>
        <v>265042</v>
      </c>
      <c r="I52" s="45">
        <f t="shared" si="23"/>
        <v>152534</v>
      </c>
      <c r="J52" s="45">
        <f t="shared" si="23"/>
        <v>176915</v>
      </c>
      <c r="K52" s="45">
        <f t="shared" si="23"/>
        <v>441227</v>
      </c>
      <c r="L52" s="45">
        <f t="shared" si="23"/>
        <v>68204</v>
      </c>
      <c r="M52" s="45">
        <f t="shared" si="23"/>
        <v>209532.5</v>
      </c>
      <c r="N52" s="45">
        <f t="shared" si="23"/>
        <v>98700</v>
      </c>
      <c r="O52" s="45">
        <f t="shared" si="23"/>
        <v>155595.00000000006</v>
      </c>
      <c r="P52" s="45">
        <f t="shared" si="23"/>
        <v>31734</v>
      </c>
      <c r="Q52" s="45">
        <f t="shared" si="23"/>
        <v>3079126.5000000019</v>
      </c>
      <c r="R52" s="45">
        <v>2916671.3500000015</v>
      </c>
      <c r="S52" s="46">
        <v>3622158</v>
      </c>
    </row>
    <row r="53" spans="1:19" ht="18" customHeight="1">
      <c r="A53" s="39"/>
      <c r="B53" s="40" t="s">
        <v>62</v>
      </c>
      <c r="C53" s="41"/>
      <c r="D53" s="59">
        <f>SUM(D52/C5)</f>
        <v>12452.733333333334</v>
      </c>
      <c r="E53" s="59">
        <f>SUM(E52/C5)</f>
        <v>12580.2</v>
      </c>
      <c r="F53" s="59">
        <f>SUM(F52/C5)</f>
        <v>12779.733333333334</v>
      </c>
      <c r="G53" s="59">
        <f>SUM(G52/C5)</f>
        <v>11508.766666666666</v>
      </c>
      <c r="H53" s="59">
        <f>SUM(H52/C5)</f>
        <v>8834.7333333333336</v>
      </c>
      <c r="I53" s="59">
        <f>SUM(I52/C5)</f>
        <v>5084.4666666666662</v>
      </c>
      <c r="J53" s="59">
        <f>SUM(J52/C5)</f>
        <v>5897.166666666667</v>
      </c>
      <c r="K53" s="59">
        <f>SUM(K52/C5)</f>
        <v>14707.566666666668</v>
      </c>
      <c r="L53" s="59">
        <f>SUM(L52/C5)</f>
        <v>2273.4666666666667</v>
      </c>
      <c r="M53" s="59">
        <f>SUM(M52/C5)</f>
        <v>6984.416666666667</v>
      </c>
      <c r="N53" s="59">
        <f>SUM(N52/C5)</f>
        <v>3290</v>
      </c>
      <c r="O53" s="59">
        <f>SUM(O52/C5)</f>
        <v>5186.5000000000018</v>
      </c>
      <c r="P53" s="59">
        <f>SUM(P52/C5)</f>
        <v>1057.8</v>
      </c>
      <c r="Q53" s="59">
        <f>SUM(Q52/C5)</f>
        <v>102637.55000000006</v>
      </c>
      <c r="R53" s="59">
        <v>94086.172580645216</v>
      </c>
      <c r="S53" s="60">
        <v>120738.6</v>
      </c>
    </row>
    <row r="54" spans="1:19" s="15" customFormat="1" ht="25.5">
      <c r="A54" s="10">
        <v>11</v>
      </c>
      <c r="B54" s="11" t="s">
        <v>63</v>
      </c>
      <c r="C54" s="35"/>
      <c r="D54" s="13">
        <v>26253552</v>
      </c>
      <c r="E54" s="13">
        <v>37257503</v>
      </c>
      <c r="F54" s="13">
        <v>24658793</v>
      </c>
      <c r="G54" s="13">
        <v>43838211</v>
      </c>
      <c r="H54" s="13">
        <v>27440160</v>
      </c>
      <c r="I54" s="13">
        <v>16725695</v>
      </c>
      <c r="J54" s="13">
        <v>24459530</v>
      </c>
      <c r="K54" s="13">
        <v>31474115</v>
      </c>
      <c r="L54" s="13">
        <v>25030830</v>
      </c>
      <c r="M54" s="13">
        <v>21209740</v>
      </c>
      <c r="N54" s="13">
        <v>18118740</v>
      </c>
      <c r="O54" s="13">
        <v>13964063</v>
      </c>
      <c r="P54" s="13">
        <v>8675724</v>
      </c>
      <c r="Q54" s="87">
        <f>SUM(D54:P54)</f>
        <v>319106656</v>
      </c>
      <c r="R54" s="45">
        <v>329867801</v>
      </c>
      <c r="S54" s="173">
        <v>322012963</v>
      </c>
    </row>
    <row r="55" spans="1:19" s="21" customFormat="1" ht="18" customHeight="1">
      <c r="A55" s="16"/>
      <c r="B55" s="17" t="s">
        <v>64</v>
      </c>
      <c r="C55" s="18"/>
      <c r="D55" s="44">
        <f t="shared" ref="D55:P55" si="24">ROUND((D54)/$C5,0)</f>
        <v>875118</v>
      </c>
      <c r="E55" s="44">
        <f t="shared" si="24"/>
        <v>1241917</v>
      </c>
      <c r="F55" s="44">
        <f t="shared" si="24"/>
        <v>821960</v>
      </c>
      <c r="G55" s="44">
        <f t="shared" si="24"/>
        <v>1461274</v>
      </c>
      <c r="H55" s="44">
        <f t="shared" si="24"/>
        <v>914672</v>
      </c>
      <c r="I55" s="44">
        <f t="shared" si="24"/>
        <v>557523</v>
      </c>
      <c r="J55" s="44">
        <f t="shared" si="24"/>
        <v>815318</v>
      </c>
      <c r="K55" s="44">
        <f t="shared" si="24"/>
        <v>1049137</v>
      </c>
      <c r="L55" s="44">
        <f t="shared" si="24"/>
        <v>834361</v>
      </c>
      <c r="M55" s="44">
        <f t="shared" si="24"/>
        <v>706991</v>
      </c>
      <c r="N55" s="44">
        <f t="shared" si="24"/>
        <v>603958</v>
      </c>
      <c r="O55" s="44">
        <f t="shared" si="24"/>
        <v>465469</v>
      </c>
      <c r="P55" s="44">
        <f t="shared" si="24"/>
        <v>289191</v>
      </c>
      <c r="Q55" s="45">
        <f>SUM(D55:P55)</f>
        <v>10636889</v>
      </c>
      <c r="R55" s="37">
        <v>10640896.806451613</v>
      </c>
      <c r="S55" s="46">
        <v>10733767</v>
      </c>
    </row>
    <row r="56" spans="1:19" s="15" customFormat="1" ht="18" customHeight="1">
      <c r="A56" s="88"/>
      <c r="B56" s="50" t="s">
        <v>65</v>
      </c>
      <c r="C56" s="89"/>
      <c r="D56" s="90">
        <f>SUM(D55/D65)</f>
        <v>13.845387128110309</v>
      </c>
      <c r="E56" s="90">
        <f t="shared" ref="E56:Q56" si="25">SUM(E55/E65)</f>
        <v>15.190703776972844</v>
      </c>
      <c r="F56" s="90">
        <f t="shared" si="25"/>
        <v>12.976048395754004</v>
      </c>
      <c r="G56" s="90">
        <f t="shared" si="25"/>
        <v>13.198705486807834</v>
      </c>
      <c r="H56" s="90">
        <f t="shared" si="25"/>
        <v>14.259717623900061</v>
      </c>
      <c r="I56" s="90">
        <f>SUM(I55/I65)</f>
        <v>12.749104169413931</v>
      </c>
      <c r="J56" s="90">
        <f>SUM(J55/J65)</f>
        <v>13.612508160145321</v>
      </c>
      <c r="K56" s="90">
        <f t="shared" si="25"/>
        <v>15.191629911294784</v>
      </c>
      <c r="L56" s="90">
        <f t="shared" si="25"/>
        <v>16.420571807934881</v>
      </c>
      <c r="M56" s="90">
        <f>SUM(M55/M65)</f>
        <v>14.704196468868094</v>
      </c>
      <c r="N56" s="90">
        <f t="shared" si="25"/>
        <v>13.234853913428394</v>
      </c>
      <c r="O56" s="90">
        <f t="shared" si="25"/>
        <v>14.316235066398333</v>
      </c>
      <c r="P56" s="90">
        <f t="shared" si="25"/>
        <v>13.725249169435216</v>
      </c>
      <c r="Q56" s="90">
        <f t="shared" si="25"/>
        <v>14.108055097811075</v>
      </c>
      <c r="R56" s="183">
        <v>13.99814984871696</v>
      </c>
      <c r="S56" s="91">
        <v>14.143196095265248</v>
      </c>
    </row>
    <row r="57" spans="1:19" s="21" customFormat="1" ht="18" customHeight="1">
      <c r="A57" s="77"/>
      <c r="B57" s="78" t="s">
        <v>66</v>
      </c>
      <c r="C57" s="79"/>
      <c r="D57" s="92">
        <f t="shared" ref="D57:Q57" si="26">SUM(D55/D17)</f>
        <v>6890.6929133858266</v>
      </c>
      <c r="E57" s="92">
        <f t="shared" si="26"/>
        <v>7572.6646341463411</v>
      </c>
      <c r="F57" s="92">
        <f t="shared" si="26"/>
        <v>7210.1754385964914</v>
      </c>
      <c r="G57" s="92">
        <f t="shared" si="26"/>
        <v>8595.7294117647052</v>
      </c>
      <c r="H57" s="92">
        <f t="shared" si="26"/>
        <v>8548.336448598131</v>
      </c>
      <c r="I57" s="92">
        <f t="shared" si="26"/>
        <v>8447.318181818182</v>
      </c>
      <c r="J57" s="92">
        <f t="shared" si="26"/>
        <v>7993.3137254901958</v>
      </c>
      <c r="K57" s="92">
        <f t="shared" si="26"/>
        <v>7388.288732394366</v>
      </c>
      <c r="L57" s="92">
        <f t="shared" si="26"/>
        <v>8876.1808510638293</v>
      </c>
      <c r="M57" s="92">
        <f t="shared" si="26"/>
        <v>7069.91</v>
      </c>
      <c r="N57" s="92">
        <f t="shared" si="26"/>
        <v>8052.7733333333335</v>
      </c>
      <c r="O57" s="92">
        <f t="shared" si="26"/>
        <v>8619.7962962962956</v>
      </c>
      <c r="P57" s="92">
        <f t="shared" si="26"/>
        <v>7229.7749999999996</v>
      </c>
      <c r="Q57" s="92">
        <f t="shared" si="26"/>
        <v>7850.1025830258304</v>
      </c>
      <c r="R57" s="59">
        <v>7694.0685513026847</v>
      </c>
      <c r="S57" s="93">
        <v>7875.1041819515776</v>
      </c>
    </row>
    <row r="58" spans="1:19" s="21" customFormat="1" ht="18" customHeight="1">
      <c r="A58" s="81">
        <v>12</v>
      </c>
      <c r="B58" s="82" t="s">
        <v>67</v>
      </c>
      <c r="C58" s="83"/>
      <c r="D58" s="94">
        <f t="shared" ref="D58:Q58" si="27">SUM(D54)/D34</f>
        <v>34.981415056628911</v>
      </c>
      <c r="E58" s="94">
        <f t="shared" si="27"/>
        <v>35.377708460928559</v>
      </c>
      <c r="F58" s="94">
        <f t="shared" si="27"/>
        <v>43.476209450631984</v>
      </c>
      <c r="G58" s="94">
        <f t="shared" si="27"/>
        <v>45.122022792491983</v>
      </c>
      <c r="H58" s="94">
        <f t="shared" si="27"/>
        <v>37.539071050212321</v>
      </c>
      <c r="I58" s="94">
        <f t="shared" si="27"/>
        <v>41.638108301883037</v>
      </c>
      <c r="J58" s="94">
        <f t="shared" si="27"/>
        <v>41.584190903325947</v>
      </c>
      <c r="K58" s="94">
        <f t="shared" si="27"/>
        <v>31.386734331620769</v>
      </c>
      <c r="L58" s="94">
        <f t="shared" si="27"/>
        <v>33.553841204305691</v>
      </c>
      <c r="M58" s="94">
        <f t="shared" si="27"/>
        <v>29.277145187984765</v>
      </c>
      <c r="N58" s="94">
        <f t="shared" si="27"/>
        <v>37.973793745205789</v>
      </c>
      <c r="O58" s="94">
        <f t="shared" si="27"/>
        <v>40.813051115456219</v>
      </c>
      <c r="P58" s="94">
        <f t="shared" si="27"/>
        <v>35.919860886846358</v>
      </c>
      <c r="Q58" s="94">
        <f t="shared" si="27"/>
        <v>37.117255162372103</v>
      </c>
      <c r="R58" s="100">
        <v>36.05535392292451</v>
      </c>
      <c r="S58" s="95">
        <v>38.160442439482289</v>
      </c>
    </row>
    <row r="59" spans="1:19" s="15" customFormat="1" ht="18" customHeight="1">
      <c r="A59" s="88">
        <v>13</v>
      </c>
      <c r="B59" s="17" t="s">
        <v>68</v>
      </c>
      <c r="C59" s="8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2"/>
      <c r="S59" s="96"/>
    </row>
    <row r="60" spans="1:19" s="21" customFormat="1" ht="18" customHeight="1">
      <c r="A60" s="16"/>
      <c r="B60" s="17" t="s">
        <v>69</v>
      </c>
      <c r="C60" s="18"/>
      <c r="D60" s="97">
        <f>SUM(D58)/69.83*100</f>
        <v>50.095109632863974</v>
      </c>
      <c r="E60" s="97">
        <f t="shared" ref="E60:P60" si="28">SUM(E58)/69.83*100</f>
        <v>50.662621310222768</v>
      </c>
      <c r="F60" s="97">
        <f t="shared" si="28"/>
        <v>62.260073679839593</v>
      </c>
      <c r="G60" s="97">
        <f t="shared" si="28"/>
        <v>64.616959462254016</v>
      </c>
      <c r="H60" s="97">
        <f t="shared" si="28"/>
        <v>53.757799012190063</v>
      </c>
      <c r="I60" s="97">
        <f t="shared" si="28"/>
        <v>59.627822285383125</v>
      </c>
      <c r="J60" s="97">
        <f t="shared" si="28"/>
        <v>59.55060991454382</v>
      </c>
      <c r="K60" s="97">
        <f t="shared" si="28"/>
        <v>44.947349751712402</v>
      </c>
      <c r="L60" s="97">
        <f t="shared" si="28"/>
        <v>48.050753550487883</v>
      </c>
      <c r="M60" s="97">
        <f t="shared" si="28"/>
        <v>41.926314174401789</v>
      </c>
      <c r="N60" s="97">
        <f t="shared" si="28"/>
        <v>54.380343326945138</v>
      </c>
      <c r="O60" s="97">
        <f t="shared" si="28"/>
        <v>58.446299750044709</v>
      </c>
      <c r="P60" s="97">
        <f t="shared" si="28"/>
        <v>51.439010291918031</v>
      </c>
      <c r="Q60" s="97">
        <f>SUM(Q58)/69.83*100</f>
        <v>53.153737881099957</v>
      </c>
      <c r="R60" s="97">
        <v>51.618259016355786</v>
      </c>
      <c r="S60" s="98">
        <v>53.648871698976933</v>
      </c>
    </row>
    <row r="61" spans="1:19" s="27" customFormat="1" ht="60">
      <c r="A61" s="65"/>
      <c r="B61" s="99" t="s">
        <v>70</v>
      </c>
      <c r="C61" s="67"/>
      <c r="D61" s="100">
        <f>D129/69.83*100</f>
        <v>61.238112958915714</v>
      </c>
      <c r="E61" s="100">
        <f t="shared" ref="E61:P61" si="29">E129/69.83*100</f>
        <v>63.884943035444955</v>
      </c>
      <c r="F61" s="100">
        <f t="shared" si="29"/>
        <v>73.165788793596747</v>
      </c>
      <c r="G61" s="100">
        <f t="shared" si="29"/>
        <v>75.399284330963027</v>
      </c>
      <c r="H61" s="100">
        <f t="shared" si="29"/>
        <v>66.087958805709036</v>
      </c>
      <c r="I61" s="100">
        <f t="shared" si="29"/>
        <v>70.763672570372734</v>
      </c>
      <c r="J61" s="100">
        <f t="shared" si="29"/>
        <v>70.188281913622902</v>
      </c>
      <c r="K61" s="100">
        <f t="shared" si="29"/>
        <v>56.010161923936906</v>
      </c>
      <c r="L61" s="100">
        <f t="shared" si="29"/>
        <v>61.781570840432998</v>
      </c>
      <c r="M61" s="100">
        <f t="shared" si="29"/>
        <v>53.440314824286659</v>
      </c>
      <c r="N61" s="100">
        <f t="shared" si="29"/>
        <v>65.442591843730582</v>
      </c>
      <c r="O61" s="100">
        <f t="shared" si="29"/>
        <v>69.412269428139211</v>
      </c>
      <c r="P61" s="100">
        <f t="shared" si="29"/>
        <v>62.184311963946548</v>
      </c>
      <c r="Q61" s="100">
        <f>Q129/69.83*100</f>
        <v>64.496888230769457</v>
      </c>
      <c r="R61" s="90">
        <v>65.988028898893205</v>
      </c>
      <c r="S61" s="174">
        <v>65.283884722253816</v>
      </c>
    </row>
    <row r="62" spans="1:19" s="21" customFormat="1" ht="25.5">
      <c r="A62" s="16">
        <v>14</v>
      </c>
      <c r="B62" s="17" t="s">
        <v>71</v>
      </c>
      <c r="C62" s="89"/>
      <c r="D62" s="63" t="s">
        <v>72</v>
      </c>
      <c r="E62" s="63" t="s">
        <v>72</v>
      </c>
      <c r="F62" s="63" t="s">
        <v>72</v>
      </c>
      <c r="G62" s="63" t="s">
        <v>72</v>
      </c>
      <c r="H62" s="63" t="s">
        <v>72</v>
      </c>
      <c r="I62" s="63" t="s">
        <v>72</v>
      </c>
      <c r="J62" s="63" t="s">
        <v>72</v>
      </c>
      <c r="K62" s="63" t="s">
        <v>72</v>
      </c>
      <c r="L62" s="63" t="s">
        <v>72</v>
      </c>
      <c r="M62" s="63" t="s">
        <v>72</v>
      </c>
      <c r="N62" s="63" t="s">
        <v>72</v>
      </c>
      <c r="O62" s="63" t="s">
        <v>72</v>
      </c>
      <c r="P62" s="63" t="s">
        <v>72</v>
      </c>
      <c r="Q62" s="63">
        <v>76.98</v>
      </c>
      <c r="R62" s="97">
        <v>76.98</v>
      </c>
      <c r="S62" s="20">
        <v>85.19</v>
      </c>
    </row>
    <row r="63" spans="1:19" s="15" customFormat="1" ht="24.75" customHeight="1">
      <c r="A63" s="88">
        <v>15</v>
      </c>
      <c r="B63" s="17" t="s">
        <v>73</v>
      </c>
      <c r="C63" s="89"/>
      <c r="D63" s="90">
        <f t="shared" ref="D63:Q63" si="30">D15/D8*100</f>
        <v>76.119402985074629</v>
      </c>
      <c r="E63" s="90">
        <f t="shared" si="30"/>
        <v>69.620253164556971</v>
      </c>
      <c r="F63" s="90">
        <f t="shared" si="30"/>
        <v>58.433734939759042</v>
      </c>
      <c r="G63" s="90">
        <f t="shared" si="30"/>
        <v>72.357723577235774</v>
      </c>
      <c r="H63" s="90">
        <f t="shared" si="30"/>
        <v>70.634920634920633</v>
      </c>
      <c r="I63" s="90">
        <f t="shared" si="30"/>
        <v>71.05263157894737</v>
      </c>
      <c r="J63" s="90">
        <f t="shared" si="30"/>
        <v>72.321428571428569</v>
      </c>
      <c r="K63" s="90">
        <f t="shared" si="30"/>
        <v>66.666666666666657</v>
      </c>
      <c r="L63" s="90">
        <f t="shared" si="30"/>
        <v>78.181818181818187</v>
      </c>
      <c r="M63" s="90">
        <f t="shared" si="30"/>
        <v>58.04195804195804</v>
      </c>
      <c r="N63" s="90">
        <f t="shared" si="30"/>
        <v>65.671641791044777</v>
      </c>
      <c r="O63" s="90">
        <f t="shared" si="30"/>
        <v>71.875</v>
      </c>
      <c r="P63" s="90">
        <f t="shared" si="30"/>
        <v>66.666666666666657</v>
      </c>
      <c r="Q63" s="90">
        <f t="shared" si="30"/>
        <v>68.264342774146698</v>
      </c>
      <c r="R63" s="100">
        <v>69.565217391304344</v>
      </c>
      <c r="S63" s="91">
        <v>67.532467532467535</v>
      </c>
    </row>
    <row r="64" spans="1:19" s="15" customFormat="1" ht="34.5" customHeight="1">
      <c r="A64" s="88">
        <v>16</v>
      </c>
      <c r="B64" s="17" t="s">
        <v>74</v>
      </c>
      <c r="C64" s="89"/>
      <c r="D64" s="90">
        <f t="shared" ref="D64:Q64" si="31">SUM(D51/D15)</f>
        <v>200.43627450980392</v>
      </c>
      <c r="E64" s="90">
        <f t="shared" si="31"/>
        <v>205.44212121212121</v>
      </c>
      <c r="F64" s="90">
        <f t="shared" si="31"/>
        <v>175.93402061855667</v>
      </c>
      <c r="G64" s="90">
        <f t="shared" si="31"/>
        <v>190.23932584269662</v>
      </c>
      <c r="H64" s="90">
        <f t="shared" si="31"/>
        <v>238.11348314606741</v>
      </c>
      <c r="I64" s="90">
        <f t="shared" si="31"/>
        <v>214.10493827160494</v>
      </c>
      <c r="J64" s="90">
        <f t="shared" si="31"/>
        <v>195.11769547325102</v>
      </c>
      <c r="K64" s="90">
        <f t="shared" si="31"/>
        <v>234.66559139784945</v>
      </c>
      <c r="L64" s="90">
        <f t="shared" si="31"/>
        <v>272.42015503875973</v>
      </c>
      <c r="M64" s="90">
        <f t="shared" si="31"/>
        <v>246.52128514056224</v>
      </c>
      <c r="N64" s="90">
        <f t="shared" si="31"/>
        <v>212.19393939393939</v>
      </c>
      <c r="O64" s="90">
        <f t="shared" si="31"/>
        <v>215.98478260869564</v>
      </c>
      <c r="P64" s="90">
        <f t="shared" si="31"/>
        <v>210.51416666666665</v>
      </c>
      <c r="Q64" s="90">
        <f t="shared" si="31"/>
        <v>212.7822695035461</v>
      </c>
      <c r="R64" s="97">
        <v>215.84065860215054</v>
      </c>
      <c r="S64" s="91">
        <v>210.22453703703704</v>
      </c>
    </row>
    <row r="65" spans="1:19" s="21" customFormat="1" ht="25.5">
      <c r="A65" s="28">
        <v>17</v>
      </c>
      <c r="B65" s="11" t="s">
        <v>75</v>
      </c>
      <c r="C65" s="35"/>
      <c r="D65" s="36">
        <v>63206.466666666667</v>
      </c>
      <c r="E65" s="36">
        <v>81755.066666666666</v>
      </c>
      <c r="F65" s="36">
        <v>63344.4</v>
      </c>
      <c r="G65" s="36">
        <v>110713.43333333333</v>
      </c>
      <c r="H65" s="36">
        <v>64143.76666666667</v>
      </c>
      <c r="I65" s="36">
        <v>43730.366666666669</v>
      </c>
      <c r="J65" s="36">
        <v>59894.76666666667</v>
      </c>
      <c r="K65" s="36">
        <v>69060.2</v>
      </c>
      <c r="L65" s="36">
        <v>50811.933333333334</v>
      </c>
      <c r="M65" s="36">
        <v>48080.9</v>
      </c>
      <c r="N65" s="36">
        <v>45633.9</v>
      </c>
      <c r="O65" s="36">
        <v>32513.366666666665</v>
      </c>
      <c r="P65" s="36">
        <v>21070</v>
      </c>
      <c r="Q65" s="45">
        <f>SUM(D65:P65)</f>
        <v>753958.56666666677</v>
      </c>
      <c r="R65" s="128">
        <v>760164.51612903224</v>
      </c>
      <c r="S65" s="46">
        <v>758935.03333333333</v>
      </c>
    </row>
    <row r="66" spans="1:19" s="15" customFormat="1" ht="22.5" customHeight="1" thickBot="1">
      <c r="A66" s="101"/>
      <c r="B66" s="71" t="s">
        <v>76</v>
      </c>
      <c r="C66" s="102"/>
      <c r="D66" s="103">
        <f t="shared" ref="D66:Q66" si="32">SUM(D65/D17)</f>
        <v>497.68871391076118</v>
      </c>
      <c r="E66" s="103">
        <f t="shared" si="32"/>
        <v>498.50650406504064</v>
      </c>
      <c r="F66" s="103">
        <f t="shared" si="32"/>
        <v>555.65263157894742</v>
      </c>
      <c r="G66" s="103">
        <f t="shared" si="32"/>
        <v>651.25549019607843</v>
      </c>
      <c r="H66" s="103">
        <f t="shared" si="32"/>
        <v>599.47445482866044</v>
      </c>
      <c r="I66" s="103">
        <f t="shared" si="32"/>
        <v>662.58131313131321</v>
      </c>
      <c r="J66" s="103">
        <f t="shared" si="32"/>
        <v>587.20359477124191</v>
      </c>
      <c r="K66" s="103">
        <f t="shared" si="32"/>
        <v>486.3394366197183</v>
      </c>
      <c r="L66" s="103">
        <f t="shared" si="32"/>
        <v>540.55248226950357</v>
      </c>
      <c r="M66" s="103">
        <f t="shared" si="32"/>
        <v>480.80900000000003</v>
      </c>
      <c r="N66" s="103">
        <f t="shared" si="32"/>
        <v>608.452</v>
      </c>
      <c r="O66" s="103">
        <f t="shared" si="32"/>
        <v>602.09938271604938</v>
      </c>
      <c r="P66" s="103">
        <f t="shared" si="32"/>
        <v>526.75</v>
      </c>
      <c r="Q66" s="103">
        <f t="shared" si="32"/>
        <v>556.4269864698648</v>
      </c>
      <c r="R66" s="184">
        <v>549.648963216943</v>
      </c>
      <c r="S66" s="104">
        <v>556.81220347273177</v>
      </c>
    </row>
    <row r="67" spans="1:19" s="21" customFormat="1" ht="33" customHeight="1" thickTop="1">
      <c r="A67" s="28">
        <v>18</v>
      </c>
      <c r="B67" s="11" t="s">
        <v>77</v>
      </c>
      <c r="C67" s="35"/>
      <c r="D67" s="44" t="s">
        <v>72</v>
      </c>
      <c r="E67" s="44" t="s">
        <v>72</v>
      </c>
      <c r="F67" s="44" t="s">
        <v>72</v>
      </c>
      <c r="G67" s="44" t="s">
        <v>72</v>
      </c>
      <c r="H67" s="44" t="s">
        <v>72</v>
      </c>
      <c r="I67" s="44" t="s">
        <v>72</v>
      </c>
      <c r="J67" s="44" t="s">
        <v>72</v>
      </c>
      <c r="K67" s="44" t="s">
        <v>72</v>
      </c>
      <c r="L67" s="44" t="s">
        <v>72</v>
      </c>
      <c r="M67" s="44" t="s">
        <v>72</v>
      </c>
      <c r="N67" s="44" t="s">
        <v>72</v>
      </c>
      <c r="O67" s="44" t="s">
        <v>72</v>
      </c>
      <c r="P67" s="44" t="s">
        <v>72</v>
      </c>
      <c r="Q67" s="44">
        <v>537600</v>
      </c>
      <c r="R67" s="45">
        <v>576200</v>
      </c>
      <c r="S67" s="14">
        <v>433100</v>
      </c>
    </row>
    <row r="68" spans="1:19" s="15" customFormat="1" ht="26.25" customHeight="1">
      <c r="A68" s="10">
        <v>19</v>
      </c>
      <c r="B68" s="11" t="s">
        <v>78</v>
      </c>
      <c r="C68" s="35"/>
      <c r="D68" s="13" t="s">
        <v>72</v>
      </c>
      <c r="E68" s="13" t="s">
        <v>72</v>
      </c>
      <c r="F68" s="13" t="s">
        <v>72</v>
      </c>
      <c r="G68" s="13" t="s">
        <v>72</v>
      </c>
      <c r="H68" s="13" t="s">
        <v>72</v>
      </c>
      <c r="I68" s="13" t="s">
        <v>72</v>
      </c>
      <c r="J68" s="13" t="s">
        <v>72</v>
      </c>
      <c r="K68" s="13" t="s">
        <v>72</v>
      </c>
      <c r="L68" s="13" t="s">
        <v>72</v>
      </c>
      <c r="M68" s="13" t="s">
        <v>72</v>
      </c>
      <c r="N68" s="13" t="s">
        <v>72</v>
      </c>
      <c r="O68" s="13" t="s">
        <v>72</v>
      </c>
      <c r="P68" s="13" t="s">
        <v>72</v>
      </c>
      <c r="Q68" s="13">
        <v>2</v>
      </c>
      <c r="R68" s="37">
        <v>5</v>
      </c>
      <c r="S68" s="58">
        <v>2</v>
      </c>
    </row>
    <row r="69" spans="1:19" s="15" customFormat="1" ht="22.5" customHeight="1">
      <c r="A69" s="51"/>
      <c r="B69" s="40" t="s">
        <v>79</v>
      </c>
      <c r="C69" s="53"/>
      <c r="D69" s="105" t="s">
        <v>72</v>
      </c>
      <c r="E69" s="105" t="s">
        <v>72</v>
      </c>
      <c r="F69" s="105" t="s">
        <v>72</v>
      </c>
      <c r="G69" s="105" t="s">
        <v>72</v>
      </c>
      <c r="H69" s="105" t="s">
        <v>72</v>
      </c>
      <c r="I69" s="105" t="s">
        <v>72</v>
      </c>
      <c r="J69" s="105" t="s">
        <v>72</v>
      </c>
      <c r="K69" s="105" t="s">
        <v>72</v>
      </c>
      <c r="L69" s="105" t="s">
        <v>72</v>
      </c>
      <c r="M69" s="105" t="s">
        <v>72</v>
      </c>
      <c r="N69" s="105" t="s">
        <v>72</v>
      </c>
      <c r="O69" s="105" t="s">
        <v>72</v>
      </c>
      <c r="P69" s="105" t="s">
        <v>72</v>
      </c>
      <c r="Q69" s="105">
        <v>1387</v>
      </c>
      <c r="R69" s="80">
        <v>22</v>
      </c>
      <c r="S69" s="106">
        <v>33</v>
      </c>
    </row>
    <row r="70" spans="1:19" s="15" customFormat="1" ht="18" customHeight="1">
      <c r="A70" s="10">
        <v>20</v>
      </c>
      <c r="B70" s="11" t="s">
        <v>80</v>
      </c>
      <c r="C70" s="35"/>
      <c r="D70" s="13" t="s">
        <v>72</v>
      </c>
      <c r="E70" s="13" t="s">
        <v>72</v>
      </c>
      <c r="F70" s="13" t="s">
        <v>72</v>
      </c>
      <c r="G70" s="13" t="s">
        <v>72</v>
      </c>
      <c r="H70" s="13" t="s">
        <v>72</v>
      </c>
      <c r="I70" s="13" t="s">
        <v>72</v>
      </c>
      <c r="J70" s="13" t="s">
        <v>72</v>
      </c>
      <c r="K70" s="13" t="s">
        <v>72</v>
      </c>
      <c r="L70" s="13" t="s">
        <v>72</v>
      </c>
      <c r="M70" s="13" t="s">
        <v>72</v>
      </c>
      <c r="N70" s="13" t="s">
        <v>72</v>
      </c>
      <c r="O70" s="13" t="s">
        <v>72</v>
      </c>
      <c r="P70" s="13" t="s">
        <v>72</v>
      </c>
      <c r="Q70" s="13">
        <v>9182</v>
      </c>
      <c r="R70" s="13">
        <v>26108</v>
      </c>
      <c r="S70" s="58">
        <v>9922</v>
      </c>
    </row>
    <row r="71" spans="1:19" s="21" customFormat="1" ht="18" customHeight="1">
      <c r="A71" s="16"/>
      <c r="B71" s="17" t="s">
        <v>81</v>
      </c>
      <c r="C71" s="89"/>
      <c r="D71" s="63" t="s">
        <v>72</v>
      </c>
      <c r="E71" s="63" t="s">
        <v>72</v>
      </c>
      <c r="F71" s="63" t="s">
        <v>72</v>
      </c>
      <c r="G71" s="63" t="s">
        <v>72</v>
      </c>
      <c r="H71" s="63" t="s">
        <v>72</v>
      </c>
      <c r="I71" s="63" t="s">
        <v>72</v>
      </c>
      <c r="J71" s="63" t="s">
        <v>72</v>
      </c>
      <c r="K71" s="63" t="s">
        <v>72</v>
      </c>
      <c r="L71" s="63" t="s">
        <v>72</v>
      </c>
      <c r="M71" s="63" t="s">
        <v>72</v>
      </c>
      <c r="N71" s="63" t="s">
        <v>72</v>
      </c>
      <c r="O71" s="63" t="s">
        <v>72</v>
      </c>
      <c r="P71" s="63" t="s">
        <v>72</v>
      </c>
      <c r="Q71" s="63">
        <v>6634500</v>
      </c>
      <c r="R71" s="19">
        <v>18260800</v>
      </c>
      <c r="S71" s="20">
        <v>7427250</v>
      </c>
    </row>
    <row r="72" spans="1:19" s="21" customFormat="1" ht="25.5">
      <c r="A72" s="39"/>
      <c r="B72" s="40" t="s">
        <v>82</v>
      </c>
      <c r="C72" s="53"/>
      <c r="D72" s="80" t="s">
        <v>72</v>
      </c>
      <c r="E72" s="80" t="s">
        <v>72</v>
      </c>
      <c r="F72" s="80" t="s">
        <v>72</v>
      </c>
      <c r="G72" s="80" t="s">
        <v>72</v>
      </c>
      <c r="H72" s="80" t="s">
        <v>72</v>
      </c>
      <c r="I72" s="80" t="s">
        <v>72</v>
      </c>
      <c r="J72" s="80" t="s">
        <v>72</v>
      </c>
      <c r="K72" s="80" t="s">
        <v>72</v>
      </c>
      <c r="L72" s="80" t="s">
        <v>72</v>
      </c>
      <c r="M72" s="80" t="s">
        <v>72</v>
      </c>
      <c r="N72" s="80" t="s">
        <v>72</v>
      </c>
      <c r="O72" s="80" t="s">
        <v>72</v>
      </c>
      <c r="P72" s="80" t="s">
        <v>72</v>
      </c>
      <c r="Q72" s="107">
        <f>SUM(Q71/Q34)</f>
        <v>0.77169944513710709</v>
      </c>
      <c r="R72" s="42">
        <v>1.9959499075683957</v>
      </c>
      <c r="S72" s="108">
        <v>0.88017309448702163</v>
      </c>
    </row>
    <row r="73" spans="1:19" s="21" customFormat="1" ht="26.1" customHeight="1">
      <c r="A73" s="28">
        <v>21</v>
      </c>
      <c r="B73" s="11" t="s">
        <v>83</v>
      </c>
      <c r="C73" s="35"/>
      <c r="D73" s="44" t="s">
        <v>72</v>
      </c>
      <c r="E73" s="44" t="s">
        <v>72</v>
      </c>
      <c r="F73" s="44" t="s">
        <v>72</v>
      </c>
      <c r="G73" s="44" t="s">
        <v>72</v>
      </c>
      <c r="H73" s="44" t="s">
        <v>72</v>
      </c>
      <c r="I73" s="44" t="s">
        <v>72</v>
      </c>
      <c r="J73" s="44" t="s">
        <v>72</v>
      </c>
      <c r="K73" s="44" t="s">
        <v>72</v>
      </c>
      <c r="L73" s="44" t="s">
        <v>72</v>
      </c>
      <c r="M73" s="44" t="s">
        <v>72</v>
      </c>
      <c r="N73" s="44" t="s">
        <v>72</v>
      </c>
      <c r="O73" s="44" t="s">
        <v>72</v>
      </c>
      <c r="P73" s="44" t="s">
        <v>72</v>
      </c>
      <c r="Q73" s="44">
        <f>SUM(C74:C80)</f>
        <v>472385</v>
      </c>
      <c r="R73" s="44">
        <v>506807</v>
      </c>
      <c r="S73" s="14">
        <v>487952</v>
      </c>
    </row>
    <row r="74" spans="1:19" ht="30.75" customHeight="1">
      <c r="A74" s="16"/>
      <c r="B74" s="17" t="s">
        <v>84</v>
      </c>
      <c r="C74" s="89">
        <v>116588</v>
      </c>
      <c r="D74" s="63" t="s">
        <v>72</v>
      </c>
      <c r="E74" s="63" t="s">
        <v>72</v>
      </c>
      <c r="F74" s="63" t="s">
        <v>72</v>
      </c>
      <c r="G74" s="63" t="s">
        <v>72</v>
      </c>
      <c r="H74" s="63" t="s">
        <v>72</v>
      </c>
      <c r="I74" s="63" t="s">
        <v>72</v>
      </c>
      <c r="J74" s="63" t="s">
        <v>72</v>
      </c>
      <c r="K74" s="63" t="s">
        <v>72</v>
      </c>
      <c r="L74" s="63" t="s">
        <v>72</v>
      </c>
      <c r="M74" s="63" t="s">
        <v>72</v>
      </c>
      <c r="N74" s="63" t="s">
        <v>72</v>
      </c>
      <c r="O74" s="63" t="s">
        <v>72</v>
      </c>
      <c r="P74" s="63" t="s">
        <v>72</v>
      </c>
      <c r="Q74" s="63" t="s">
        <v>72</v>
      </c>
      <c r="R74" s="97" t="s">
        <v>72</v>
      </c>
      <c r="S74" s="20" t="s">
        <v>72</v>
      </c>
    </row>
    <row r="75" spans="1:19" ht="19.5" customHeight="1">
      <c r="A75" s="16"/>
      <c r="B75" s="17" t="s">
        <v>85</v>
      </c>
      <c r="C75" s="89">
        <v>327530</v>
      </c>
      <c r="D75" s="63" t="s">
        <v>72</v>
      </c>
      <c r="E75" s="63" t="s">
        <v>72</v>
      </c>
      <c r="F75" s="63" t="s">
        <v>72</v>
      </c>
      <c r="G75" s="63" t="s">
        <v>72</v>
      </c>
      <c r="H75" s="63" t="s">
        <v>72</v>
      </c>
      <c r="I75" s="63" t="s">
        <v>72</v>
      </c>
      <c r="J75" s="63" t="s">
        <v>72</v>
      </c>
      <c r="K75" s="63" t="s">
        <v>72</v>
      </c>
      <c r="L75" s="63" t="s">
        <v>72</v>
      </c>
      <c r="M75" s="63" t="s">
        <v>72</v>
      </c>
      <c r="N75" s="63" t="s">
        <v>72</v>
      </c>
      <c r="O75" s="63" t="s">
        <v>72</v>
      </c>
      <c r="P75" s="63" t="s">
        <v>72</v>
      </c>
      <c r="Q75" s="63" t="s">
        <v>72</v>
      </c>
      <c r="R75" s="44" t="s">
        <v>72</v>
      </c>
      <c r="S75" s="20" t="s">
        <v>72</v>
      </c>
    </row>
    <row r="76" spans="1:19" ht="26.1" customHeight="1">
      <c r="A76" s="16"/>
      <c r="B76" s="17" t="s">
        <v>86</v>
      </c>
      <c r="C76" s="89">
        <v>8643</v>
      </c>
      <c r="D76" s="63" t="s">
        <v>72</v>
      </c>
      <c r="E76" s="63" t="s">
        <v>72</v>
      </c>
      <c r="F76" s="63" t="s">
        <v>72</v>
      </c>
      <c r="G76" s="63" t="s">
        <v>72</v>
      </c>
      <c r="H76" s="63" t="s">
        <v>72</v>
      </c>
      <c r="I76" s="63" t="s">
        <v>72</v>
      </c>
      <c r="J76" s="63" t="s">
        <v>72</v>
      </c>
      <c r="K76" s="63" t="s">
        <v>72</v>
      </c>
      <c r="L76" s="63" t="s">
        <v>72</v>
      </c>
      <c r="M76" s="63" t="s">
        <v>72</v>
      </c>
      <c r="N76" s="63" t="s">
        <v>72</v>
      </c>
      <c r="O76" s="63" t="s">
        <v>72</v>
      </c>
      <c r="P76" s="63" t="s">
        <v>72</v>
      </c>
      <c r="Q76" s="63" t="s">
        <v>72</v>
      </c>
      <c r="R76" s="63" t="s">
        <v>72</v>
      </c>
      <c r="S76" s="20" t="s">
        <v>72</v>
      </c>
    </row>
    <row r="77" spans="1:19" ht="19.5" customHeight="1">
      <c r="A77" s="16"/>
      <c r="B77" s="50" t="s">
        <v>87</v>
      </c>
      <c r="C77" s="89">
        <v>1220</v>
      </c>
      <c r="D77" s="63" t="s">
        <v>72</v>
      </c>
      <c r="E77" s="63" t="s">
        <v>72</v>
      </c>
      <c r="F77" s="63" t="s">
        <v>72</v>
      </c>
      <c r="G77" s="63" t="s">
        <v>72</v>
      </c>
      <c r="H77" s="63" t="s">
        <v>72</v>
      </c>
      <c r="I77" s="63" t="s">
        <v>72</v>
      </c>
      <c r="J77" s="63" t="s">
        <v>72</v>
      </c>
      <c r="K77" s="63" t="s">
        <v>72</v>
      </c>
      <c r="L77" s="63" t="s">
        <v>72</v>
      </c>
      <c r="M77" s="63" t="s">
        <v>72</v>
      </c>
      <c r="N77" s="63" t="s">
        <v>72</v>
      </c>
      <c r="O77" s="63" t="s">
        <v>72</v>
      </c>
      <c r="P77" s="63" t="s">
        <v>72</v>
      </c>
      <c r="Q77" s="63" t="s">
        <v>72</v>
      </c>
      <c r="R77" s="63" t="s">
        <v>72</v>
      </c>
      <c r="S77" s="20" t="s">
        <v>72</v>
      </c>
    </row>
    <row r="78" spans="1:19" ht="26.1" customHeight="1">
      <c r="A78" s="28"/>
      <c r="B78" s="11" t="s">
        <v>88</v>
      </c>
      <c r="C78" s="89">
        <v>13968</v>
      </c>
      <c r="D78" s="44" t="s">
        <v>72</v>
      </c>
      <c r="E78" s="44" t="s">
        <v>72</v>
      </c>
      <c r="F78" s="44" t="s">
        <v>72</v>
      </c>
      <c r="G78" s="44" t="s">
        <v>72</v>
      </c>
      <c r="H78" s="44" t="s">
        <v>72</v>
      </c>
      <c r="I78" s="44" t="s">
        <v>72</v>
      </c>
      <c r="J78" s="44" t="s">
        <v>72</v>
      </c>
      <c r="K78" s="44" t="s">
        <v>72</v>
      </c>
      <c r="L78" s="44" t="s">
        <v>72</v>
      </c>
      <c r="M78" s="44" t="s">
        <v>72</v>
      </c>
      <c r="N78" s="44" t="s">
        <v>72</v>
      </c>
      <c r="O78" s="44" t="s">
        <v>72</v>
      </c>
      <c r="P78" s="44" t="s">
        <v>72</v>
      </c>
      <c r="Q78" s="44" t="s">
        <v>72</v>
      </c>
      <c r="R78" s="63" t="s">
        <v>72</v>
      </c>
      <c r="S78" s="14" t="s">
        <v>72</v>
      </c>
    </row>
    <row r="79" spans="1:19" ht="20.25" customHeight="1">
      <c r="A79" s="28"/>
      <c r="B79" s="11" t="s">
        <v>89</v>
      </c>
      <c r="C79" s="89">
        <v>1093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63" t="s">
        <v>72</v>
      </c>
      <c r="R79" s="63" t="s">
        <v>72</v>
      </c>
      <c r="S79" s="20" t="s">
        <v>72</v>
      </c>
    </row>
    <row r="80" spans="1:19" ht="23.25" customHeight="1">
      <c r="A80" s="28"/>
      <c r="B80" s="11" t="s">
        <v>90</v>
      </c>
      <c r="C80" s="89">
        <v>3343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 t="s">
        <v>72</v>
      </c>
      <c r="S80" s="175"/>
    </row>
    <row r="81" spans="1:19" s="21" customFormat="1" ht="31.5" customHeight="1">
      <c r="A81" s="16"/>
      <c r="B81" s="17" t="s">
        <v>91</v>
      </c>
      <c r="C81" s="109"/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63" t="s">
        <v>72</v>
      </c>
      <c r="N81" s="63" t="s">
        <v>72</v>
      </c>
      <c r="O81" s="63" t="s">
        <v>72</v>
      </c>
      <c r="P81" s="63" t="s">
        <v>72</v>
      </c>
      <c r="Q81" s="45">
        <v>56898020</v>
      </c>
      <c r="R81" s="63">
        <v>59324050</v>
      </c>
      <c r="S81" s="46">
        <v>55817820</v>
      </c>
    </row>
    <row r="82" spans="1:19" s="21" customFormat="1" ht="32.25" customHeight="1">
      <c r="A82" s="77"/>
      <c r="B82" s="78" t="s">
        <v>92</v>
      </c>
      <c r="C82" s="110"/>
      <c r="D82" s="111" t="s">
        <v>72</v>
      </c>
      <c r="E82" s="111" t="s">
        <v>72</v>
      </c>
      <c r="F82" s="111" t="s">
        <v>72</v>
      </c>
      <c r="G82" s="111" t="s">
        <v>72</v>
      </c>
      <c r="H82" s="111" t="s">
        <v>72</v>
      </c>
      <c r="I82" s="111" t="s">
        <v>72</v>
      </c>
      <c r="J82" s="111" t="s">
        <v>72</v>
      </c>
      <c r="K82" s="111" t="s">
        <v>72</v>
      </c>
      <c r="L82" s="111" t="s">
        <v>72</v>
      </c>
      <c r="M82" s="111" t="s">
        <v>72</v>
      </c>
      <c r="N82" s="111" t="s">
        <v>72</v>
      </c>
      <c r="O82" s="111" t="s">
        <v>72</v>
      </c>
      <c r="P82" s="111" t="s">
        <v>72</v>
      </c>
      <c r="Q82" s="92">
        <f>SUM(Q81/Q34)</f>
        <v>6.6181581827417322</v>
      </c>
      <c r="R82" s="107">
        <v>6.4842631272497853</v>
      </c>
      <c r="S82" s="93">
        <v>6.6147421127496138</v>
      </c>
    </row>
    <row r="83" spans="1:19" s="21" customFormat="1" ht="18" customHeight="1">
      <c r="A83" s="81" t="s">
        <v>93</v>
      </c>
      <c r="B83" s="82" t="s">
        <v>94</v>
      </c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45"/>
      <c r="S83" s="176"/>
    </row>
    <row r="84" spans="1:19" s="21" customFormat="1" ht="18" customHeight="1">
      <c r="A84" s="16"/>
      <c r="B84" s="17" t="s">
        <v>95</v>
      </c>
      <c r="C84" s="115"/>
      <c r="D84" s="63" t="s">
        <v>72</v>
      </c>
      <c r="E84" s="63" t="s">
        <v>72</v>
      </c>
      <c r="F84" s="63" t="s">
        <v>72</v>
      </c>
      <c r="G84" s="63" t="s">
        <v>72</v>
      </c>
      <c r="H84" s="63" t="s">
        <v>72</v>
      </c>
      <c r="I84" s="63" t="s">
        <v>72</v>
      </c>
      <c r="J84" s="63" t="s">
        <v>72</v>
      </c>
      <c r="K84" s="63" t="s">
        <v>72</v>
      </c>
      <c r="L84" s="63" t="s">
        <v>72</v>
      </c>
      <c r="M84" s="63" t="s">
        <v>72</v>
      </c>
      <c r="N84" s="63" t="s">
        <v>72</v>
      </c>
      <c r="O84" s="63" t="s">
        <v>72</v>
      </c>
      <c r="P84" s="63" t="s">
        <v>72</v>
      </c>
      <c r="Q84" s="63">
        <v>1</v>
      </c>
      <c r="R84" s="37">
        <v>1</v>
      </c>
      <c r="S84" s="20">
        <v>1</v>
      </c>
    </row>
    <row r="85" spans="1:19" s="21" customFormat="1" ht="18" customHeight="1">
      <c r="A85" s="16"/>
      <c r="B85" s="17" t="s">
        <v>96</v>
      </c>
      <c r="C85" s="115"/>
      <c r="D85" s="63" t="s">
        <v>72</v>
      </c>
      <c r="E85" s="63" t="s">
        <v>72</v>
      </c>
      <c r="F85" s="63" t="s">
        <v>72</v>
      </c>
      <c r="G85" s="63" t="s">
        <v>72</v>
      </c>
      <c r="H85" s="63" t="s">
        <v>72</v>
      </c>
      <c r="I85" s="63" t="s">
        <v>72</v>
      </c>
      <c r="J85" s="63" t="s">
        <v>72</v>
      </c>
      <c r="K85" s="63" t="s">
        <v>72</v>
      </c>
      <c r="L85" s="63" t="s">
        <v>72</v>
      </c>
      <c r="M85" s="63" t="s">
        <v>72</v>
      </c>
      <c r="N85" s="63" t="s">
        <v>72</v>
      </c>
      <c r="O85" s="63" t="s">
        <v>72</v>
      </c>
      <c r="P85" s="63" t="s">
        <v>72</v>
      </c>
      <c r="Q85" s="63">
        <v>0</v>
      </c>
      <c r="R85" s="127">
        <v>0</v>
      </c>
      <c r="S85" s="20">
        <v>2</v>
      </c>
    </row>
    <row r="86" spans="1:19" s="21" customFormat="1" ht="18" customHeight="1">
      <c r="A86" s="16"/>
      <c r="B86" s="17" t="s">
        <v>97</v>
      </c>
      <c r="C86" s="115"/>
      <c r="D86" s="63" t="s">
        <v>72</v>
      </c>
      <c r="E86" s="63" t="s">
        <v>72</v>
      </c>
      <c r="F86" s="63" t="s">
        <v>72</v>
      </c>
      <c r="G86" s="63" t="s">
        <v>72</v>
      </c>
      <c r="H86" s="63" t="s">
        <v>72</v>
      </c>
      <c r="I86" s="63" t="s">
        <v>72</v>
      </c>
      <c r="J86" s="63" t="s">
        <v>72</v>
      </c>
      <c r="K86" s="63" t="s">
        <v>72</v>
      </c>
      <c r="L86" s="63" t="s">
        <v>72</v>
      </c>
      <c r="M86" s="63" t="s">
        <v>72</v>
      </c>
      <c r="N86" s="63" t="s">
        <v>72</v>
      </c>
      <c r="O86" s="63" t="s">
        <v>72</v>
      </c>
      <c r="P86" s="63" t="s">
        <v>72</v>
      </c>
      <c r="Q86" s="63">
        <v>3</v>
      </c>
      <c r="R86" s="63">
        <v>4</v>
      </c>
      <c r="S86" s="20">
        <v>1</v>
      </c>
    </row>
    <row r="87" spans="1:19" s="21" customFormat="1" ht="18" customHeight="1">
      <c r="A87" s="16"/>
      <c r="B87" s="17" t="s">
        <v>98</v>
      </c>
      <c r="C87" s="115"/>
      <c r="D87" s="63" t="s">
        <v>72</v>
      </c>
      <c r="E87" s="63" t="s">
        <v>72</v>
      </c>
      <c r="F87" s="63" t="s">
        <v>72</v>
      </c>
      <c r="G87" s="63" t="s">
        <v>72</v>
      </c>
      <c r="H87" s="63" t="s">
        <v>72</v>
      </c>
      <c r="I87" s="63" t="s">
        <v>72</v>
      </c>
      <c r="J87" s="63" t="s">
        <v>72</v>
      </c>
      <c r="K87" s="63" t="s">
        <v>72</v>
      </c>
      <c r="L87" s="63" t="s">
        <v>72</v>
      </c>
      <c r="M87" s="63" t="s">
        <v>72</v>
      </c>
      <c r="N87" s="63" t="s">
        <v>72</v>
      </c>
      <c r="O87" s="63" t="s">
        <v>72</v>
      </c>
      <c r="P87" s="63" t="s">
        <v>72</v>
      </c>
      <c r="Q87" s="63">
        <v>1</v>
      </c>
      <c r="R87" s="63">
        <v>0</v>
      </c>
      <c r="S87" s="20">
        <v>0</v>
      </c>
    </row>
    <row r="88" spans="1:19" s="21" customFormat="1" ht="18" customHeight="1">
      <c r="A88" s="16"/>
      <c r="B88" s="17" t="s">
        <v>99</v>
      </c>
      <c r="C88" s="115"/>
      <c r="D88" s="63" t="s">
        <v>72</v>
      </c>
      <c r="E88" s="63" t="s">
        <v>72</v>
      </c>
      <c r="F88" s="63" t="s">
        <v>72</v>
      </c>
      <c r="G88" s="63" t="s">
        <v>72</v>
      </c>
      <c r="H88" s="63" t="s">
        <v>72</v>
      </c>
      <c r="I88" s="63" t="s">
        <v>72</v>
      </c>
      <c r="J88" s="63" t="s">
        <v>72</v>
      </c>
      <c r="K88" s="63" t="s">
        <v>72</v>
      </c>
      <c r="L88" s="63" t="s">
        <v>72</v>
      </c>
      <c r="M88" s="63" t="s">
        <v>72</v>
      </c>
      <c r="N88" s="63" t="s">
        <v>72</v>
      </c>
      <c r="O88" s="63" t="s">
        <v>72</v>
      </c>
      <c r="P88" s="63" t="s">
        <v>72</v>
      </c>
      <c r="Q88" s="63">
        <f>SUM(Q84:Q87)</f>
        <v>5</v>
      </c>
      <c r="R88" s="63">
        <v>5</v>
      </c>
      <c r="S88" s="20">
        <v>4</v>
      </c>
    </row>
    <row r="89" spans="1:19" s="21" customFormat="1" ht="18" customHeight="1">
      <c r="A89" s="39"/>
      <c r="B89" s="40" t="s">
        <v>100</v>
      </c>
      <c r="C89" s="118"/>
      <c r="D89" s="80" t="s">
        <v>72</v>
      </c>
      <c r="E89" s="80" t="s">
        <v>72</v>
      </c>
      <c r="F89" s="80" t="s">
        <v>72</v>
      </c>
      <c r="G89" s="80" t="s">
        <v>72</v>
      </c>
      <c r="H89" s="80" t="s">
        <v>72</v>
      </c>
      <c r="I89" s="80" t="s">
        <v>72</v>
      </c>
      <c r="J89" s="80" t="s">
        <v>72</v>
      </c>
      <c r="K89" s="80" t="s">
        <v>72</v>
      </c>
      <c r="L89" s="80" t="s">
        <v>72</v>
      </c>
      <c r="M89" s="80" t="s">
        <v>72</v>
      </c>
      <c r="N89" s="80" t="s">
        <v>72</v>
      </c>
      <c r="O89" s="80" t="s">
        <v>72</v>
      </c>
      <c r="P89" s="80" t="s">
        <v>72</v>
      </c>
      <c r="Q89" s="107">
        <f>Q88/Q48*100000</f>
        <v>8.3326944934221714E-2</v>
      </c>
      <c r="R89" s="107">
        <v>7.7840177923965095E-2</v>
      </c>
      <c r="S89" s="108">
        <v>6.7760949534185821E-2</v>
      </c>
    </row>
    <row r="90" spans="1:19" s="21" customFormat="1" ht="18" customHeight="1">
      <c r="A90" s="119" t="s">
        <v>19</v>
      </c>
      <c r="B90" s="11" t="s">
        <v>101</v>
      </c>
      <c r="C90" s="112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44"/>
      <c r="S90" s="134"/>
    </row>
    <row r="91" spans="1:19" s="21" customFormat="1" ht="18" customHeight="1">
      <c r="A91" s="119"/>
      <c r="B91" s="17" t="s">
        <v>95</v>
      </c>
      <c r="C91" s="115"/>
      <c r="D91" s="63" t="s">
        <v>72</v>
      </c>
      <c r="E91" s="63" t="s">
        <v>72</v>
      </c>
      <c r="F91" s="63" t="s">
        <v>72</v>
      </c>
      <c r="G91" s="63" t="s">
        <v>72</v>
      </c>
      <c r="H91" s="63" t="s">
        <v>72</v>
      </c>
      <c r="I91" s="63" t="s">
        <v>72</v>
      </c>
      <c r="J91" s="63" t="s">
        <v>72</v>
      </c>
      <c r="K91" s="63" t="s">
        <v>72</v>
      </c>
      <c r="L91" s="63" t="s">
        <v>72</v>
      </c>
      <c r="M91" s="63" t="s">
        <v>72</v>
      </c>
      <c r="N91" s="63" t="s">
        <v>72</v>
      </c>
      <c r="O91" s="63" t="s">
        <v>72</v>
      </c>
      <c r="P91" s="63" t="s">
        <v>72</v>
      </c>
      <c r="Q91" s="63">
        <v>1</v>
      </c>
      <c r="R91" s="37">
        <v>0</v>
      </c>
      <c r="S91" s="20">
        <v>2</v>
      </c>
    </row>
    <row r="92" spans="1:19" s="21" customFormat="1" ht="18" customHeight="1">
      <c r="A92" s="119"/>
      <c r="B92" s="17" t="s">
        <v>96</v>
      </c>
      <c r="C92" s="115"/>
      <c r="D92" s="63" t="s">
        <v>72</v>
      </c>
      <c r="E92" s="63" t="s">
        <v>72</v>
      </c>
      <c r="F92" s="63" t="s">
        <v>72</v>
      </c>
      <c r="G92" s="63" t="s">
        <v>72</v>
      </c>
      <c r="H92" s="63" t="s">
        <v>72</v>
      </c>
      <c r="I92" s="63" t="s">
        <v>72</v>
      </c>
      <c r="J92" s="63" t="s">
        <v>72</v>
      </c>
      <c r="K92" s="63" t="s">
        <v>72</v>
      </c>
      <c r="L92" s="63" t="s">
        <v>72</v>
      </c>
      <c r="M92" s="63" t="s">
        <v>72</v>
      </c>
      <c r="N92" s="63" t="s">
        <v>72</v>
      </c>
      <c r="O92" s="63" t="s">
        <v>72</v>
      </c>
      <c r="P92" s="63" t="s">
        <v>72</v>
      </c>
      <c r="Q92" s="63">
        <v>2</v>
      </c>
      <c r="R92" s="169">
        <v>1</v>
      </c>
      <c r="S92" s="20">
        <v>1</v>
      </c>
    </row>
    <row r="93" spans="1:19" s="21" customFormat="1" ht="18" customHeight="1">
      <c r="A93" s="119"/>
      <c r="B93" s="17" t="s">
        <v>97</v>
      </c>
      <c r="C93" s="115"/>
      <c r="D93" s="63" t="s">
        <v>72</v>
      </c>
      <c r="E93" s="63" t="s">
        <v>72</v>
      </c>
      <c r="F93" s="63" t="s">
        <v>72</v>
      </c>
      <c r="G93" s="63" t="s">
        <v>72</v>
      </c>
      <c r="H93" s="63" t="s">
        <v>72</v>
      </c>
      <c r="I93" s="63" t="s">
        <v>72</v>
      </c>
      <c r="J93" s="63" t="s">
        <v>72</v>
      </c>
      <c r="K93" s="63" t="s">
        <v>72</v>
      </c>
      <c r="L93" s="63" t="s">
        <v>72</v>
      </c>
      <c r="M93" s="63" t="s">
        <v>72</v>
      </c>
      <c r="N93" s="63" t="s">
        <v>72</v>
      </c>
      <c r="O93" s="63" t="s">
        <v>72</v>
      </c>
      <c r="P93" s="63" t="s">
        <v>72</v>
      </c>
      <c r="Q93" s="63">
        <v>3</v>
      </c>
      <c r="R93" s="63">
        <v>3</v>
      </c>
      <c r="S93" s="20">
        <v>0</v>
      </c>
    </row>
    <row r="94" spans="1:19" s="21" customFormat="1" ht="18" customHeight="1">
      <c r="A94" s="119"/>
      <c r="B94" s="17" t="s">
        <v>98</v>
      </c>
      <c r="C94" s="115"/>
      <c r="D94" s="63" t="s">
        <v>72</v>
      </c>
      <c r="E94" s="63" t="s">
        <v>72</v>
      </c>
      <c r="F94" s="63" t="s">
        <v>72</v>
      </c>
      <c r="G94" s="63" t="s">
        <v>72</v>
      </c>
      <c r="H94" s="63" t="s">
        <v>72</v>
      </c>
      <c r="I94" s="63" t="s">
        <v>72</v>
      </c>
      <c r="J94" s="63" t="s">
        <v>72</v>
      </c>
      <c r="K94" s="63" t="s">
        <v>72</v>
      </c>
      <c r="L94" s="63" t="s">
        <v>72</v>
      </c>
      <c r="M94" s="63" t="s">
        <v>72</v>
      </c>
      <c r="N94" s="63" t="s">
        <v>72</v>
      </c>
      <c r="O94" s="63" t="s">
        <v>72</v>
      </c>
      <c r="P94" s="63" t="s">
        <v>72</v>
      </c>
      <c r="Q94" s="63">
        <v>0</v>
      </c>
      <c r="R94" s="63">
        <v>0</v>
      </c>
      <c r="S94" s="20">
        <v>0</v>
      </c>
    </row>
    <row r="95" spans="1:19" s="21" customFormat="1" ht="18" customHeight="1">
      <c r="A95" s="119"/>
      <c r="B95" s="78" t="s">
        <v>99</v>
      </c>
      <c r="C95" s="122"/>
      <c r="D95" s="111" t="s">
        <v>72</v>
      </c>
      <c r="E95" s="111" t="s">
        <v>72</v>
      </c>
      <c r="F95" s="111" t="s">
        <v>72</v>
      </c>
      <c r="G95" s="111" t="s">
        <v>72</v>
      </c>
      <c r="H95" s="111" t="s">
        <v>72</v>
      </c>
      <c r="I95" s="111" t="s">
        <v>72</v>
      </c>
      <c r="J95" s="111" t="s">
        <v>72</v>
      </c>
      <c r="K95" s="111" t="s">
        <v>72</v>
      </c>
      <c r="L95" s="111" t="s">
        <v>72</v>
      </c>
      <c r="M95" s="111" t="s">
        <v>72</v>
      </c>
      <c r="N95" s="111" t="s">
        <v>72</v>
      </c>
      <c r="O95" s="111" t="s">
        <v>72</v>
      </c>
      <c r="P95" s="111" t="s">
        <v>72</v>
      </c>
      <c r="Q95" s="111">
        <f>SUM(Q91:Q94)</f>
        <v>6</v>
      </c>
      <c r="R95" s="63">
        <v>4</v>
      </c>
      <c r="S95" s="177">
        <v>3</v>
      </c>
    </row>
    <row r="96" spans="1:19" s="21" customFormat="1" ht="18" customHeight="1" thickBot="1">
      <c r="A96" s="70"/>
      <c r="B96" s="71" t="s">
        <v>100</v>
      </c>
      <c r="C96" s="123"/>
      <c r="D96" s="124" t="s">
        <v>72</v>
      </c>
      <c r="E96" s="124" t="s">
        <v>72</v>
      </c>
      <c r="F96" s="124" t="s">
        <v>72</v>
      </c>
      <c r="G96" s="124" t="s">
        <v>72</v>
      </c>
      <c r="H96" s="124" t="s">
        <v>72</v>
      </c>
      <c r="I96" s="124" t="s">
        <v>72</v>
      </c>
      <c r="J96" s="124" t="s">
        <v>72</v>
      </c>
      <c r="K96" s="124" t="s">
        <v>72</v>
      </c>
      <c r="L96" s="124" t="s">
        <v>72</v>
      </c>
      <c r="M96" s="124" t="s">
        <v>72</v>
      </c>
      <c r="N96" s="124" t="s">
        <v>72</v>
      </c>
      <c r="O96" s="124" t="s">
        <v>72</v>
      </c>
      <c r="P96" s="124" t="s">
        <v>72</v>
      </c>
      <c r="Q96" s="73">
        <f>Q95/Q33*100000</f>
        <v>0.21395522986815008</v>
      </c>
      <c r="R96" s="73">
        <v>0.13568976705798463</v>
      </c>
      <c r="S96" s="74">
        <v>0.1086077035444124</v>
      </c>
    </row>
    <row r="97" spans="1:19" s="21" customFormat="1" ht="18" customHeight="1" thickTop="1">
      <c r="A97" s="28"/>
      <c r="B97" s="125" t="s">
        <v>102</v>
      </c>
      <c r="C97" s="126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27"/>
      <c r="R97" s="120"/>
      <c r="S97" s="178"/>
    </row>
    <row r="98" spans="1:19" s="21" customFormat="1" ht="18" customHeight="1">
      <c r="A98" s="16">
        <v>23</v>
      </c>
      <c r="B98" s="17" t="s">
        <v>103</v>
      </c>
      <c r="C98" s="128"/>
      <c r="D98" s="36">
        <v>129</v>
      </c>
      <c r="E98" s="36">
        <v>94</v>
      </c>
      <c r="F98" s="36">
        <v>139</v>
      </c>
      <c r="G98" s="36">
        <v>72</v>
      </c>
      <c r="H98" s="36">
        <v>78</v>
      </c>
      <c r="I98" s="36">
        <v>66</v>
      </c>
      <c r="J98" s="36">
        <v>46</v>
      </c>
      <c r="K98" s="36">
        <v>42</v>
      </c>
      <c r="L98" s="36">
        <v>45</v>
      </c>
      <c r="M98" s="36">
        <v>94</v>
      </c>
      <c r="N98" s="36">
        <v>56</v>
      </c>
      <c r="O98" s="36">
        <v>60</v>
      </c>
      <c r="P98" s="36">
        <v>29</v>
      </c>
      <c r="Q98" s="19">
        <f>SUM(C98:P98)</f>
        <v>950</v>
      </c>
      <c r="R98" s="92">
        <v>916</v>
      </c>
      <c r="S98" s="96">
        <v>875</v>
      </c>
    </row>
    <row r="99" spans="1:19" s="15" customFormat="1" ht="18" customHeight="1">
      <c r="A99" s="51">
        <v>24</v>
      </c>
      <c r="B99" s="40" t="s">
        <v>104</v>
      </c>
      <c r="C99" s="129"/>
      <c r="D99" s="42">
        <f t="shared" ref="D99:Q99" si="33">SUM(D98/D48*10000)</f>
        <v>2.1032551541979507</v>
      </c>
      <c r="E99" s="42">
        <f t="shared" si="33"/>
        <v>1.3865145237396361</v>
      </c>
      <c r="F99" s="42">
        <f t="shared" si="33"/>
        <v>2.7150134383398958</v>
      </c>
      <c r="G99" s="42">
        <f t="shared" si="33"/>
        <v>1.4174930454247459</v>
      </c>
      <c r="H99" s="42">
        <f t="shared" si="33"/>
        <v>1.2268722778771335</v>
      </c>
      <c r="I99" s="42">
        <f t="shared" si="33"/>
        <v>1.9028398443131036</v>
      </c>
      <c r="J99" s="42">
        <f t="shared" si="33"/>
        <v>0.97018576948386115</v>
      </c>
      <c r="K99" s="42">
        <f t="shared" si="33"/>
        <v>0.96224781088623024</v>
      </c>
      <c r="L99" s="42">
        <f t="shared" si="33"/>
        <v>1.2805117494066962</v>
      </c>
      <c r="M99" s="42">
        <f t="shared" si="33"/>
        <v>1.5313486620248338</v>
      </c>
      <c r="N99" s="42">
        <f t="shared" si="33"/>
        <v>1.9993145207357477</v>
      </c>
      <c r="O99" s="42">
        <f t="shared" si="33"/>
        <v>2.0130242670075389</v>
      </c>
      <c r="P99" s="42">
        <f t="shared" si="33"/>
        <v>1.1479829148473777</v>
      </c>
      <c r="Q99" s="42">
        <f t="shared" si="33"/>
        <v>1.5832119537502125</v>
      </c>
      <c r="R99" s="168">
        <v>1.4260320595670404</v>
      </c>
      <c r="S99" s="43">
        <v>1.4822707710603149</v>
      </c>
    </row>
    <row r="100" spans="1:19" s="130" customFormat="1" ht="18" customHeight="1">
      <c r="A100" s="10">
        <v>25</v>
      </c>
      <c r="B100" s="11" t="s">
        <v>105</v>
      </c>
      <c r="C100" s="126"/>
      <c r="D100" s="36">
        <v>153172</v>
      </c>
      <c r="E100" s="36">
        <v>28323</v>
      </c>
      <c r="F100" s="36">
        <v>127435</v>
      </c>
      <c r="G100" s="36">
        <v>163123</v>
      </c>
      <c r="H100" s="36">
        <v>178420</v>
      </c>
      <c r="I100" s="36">
        <v>110373</v>
      </c>
      <c r="J100" s="36">
        <v>152871</v>
      </c>
      <c r="K100" s="36">
        <v>92538</v>
      </c>
      <c r="L100" s="36">
        <v>90013</v>
      </c>
      <c r="M100" s="36">
        <v>30146</v>
      </c>
      <c r="N100" s="36">
        <v>13161</v>
      </c>
      <c r="O100" s="36">
        <v>10132</v>
      </c>
      <c r="P100" s="36">
        <v>24408</v>
      </c>
      <c r="Q100" s="44">
        <f>SUM(C100:P100)</f>
        <v>1174115</v>
      </c>
      <c r="R100" s="13">
        <v>1246466</v>
      </c>
      <c r="S100" s="14">
        <v>1094536</v>
      </c>
    </row>
    <row r="101" spans="1:19" s="33" customFormat="1" ht="33.75" customHeight="1">
      <c r="A101" s="65"/>
      <c r="B101" s="17" t="s">
        <v>106</v>
      </c>
      <c r="C101" s="131"/>
      <c r="D101" s="37">
        <f>D100/C5</f>
        <v>5105.7333333333336</v>
      </c>
      <c r="E101" s="37">
        <f>E100/C5</f>
        <v>944.1</v>
      </c>
      <c r="F101" s="37">
        <f>F100/C5</f>
        <v>4247.833333333333</v>
      </c>
      <c r="G101" s="37">
        <f>G100/C5</f>
        <v>5437.4333333333334</v>
      </c>
      <c r="H101" s="37">
        <f>H100/C5</f>
        <v>5947.333333333333</v>
      </c>
      <c r="I101" s="37">
        <f>I100/C5</f>
        <v>3679.1</v>
      </c>
      <c r="J101" s="37">
        <f>J100/C5</f>
        <v>5095.7</v>
      </c>
      <c r="K101" s="37">
        <f>K100/C5</f>
        <v>3084.6</v>
      </c>
      <c r="L101" s="37">
        <f>L100/C5</f>
        <v>3000.4333333333334</v>
      </c>
      <c r="M101" s="37">
        <f>M100/C5</f>
        <v>1004.8666666666667</v>
      </c>
      <c r="N101" s="37">
        <f>N100/C5</f>
        <v>438.7</v>
      </c>
      <c r="O101" s="37">
        <f>O100/C5</f>
        <v>337.73333333333335</v>
      </c>
      <c r="P101" s="37">
        <f>P100/C5</f>
        <v>813.6</v>
      </c>
      <c r="Q101" s="37">
        <f>Q100/C5</f>
        <v>39137.166666666664</v>
      </c>
      <c r="R101" s="128">
        <v>40208.580645161288</v>
      </c>
      <c r="S101" s="38">
        <v>36484.533333333333</v>
      </c>
    </row>
    <row r="102" spans="1:19" ht="32.25" customHeight="1">
      <c r="A102" s="16"/>
      <c r="B102" s="17" t="s">
        <v>107</v>
      </c>
      <c r="C102" s="115"/>
      <c r="D102" s="100">
        <v>58.02</v>
      </c>
      <c r="E102" s="100">
        <v>52.45</v>
      </c>
      <c r="F102" s="100">
        <v>56.64</v>
      </c>
      <c r="G102" s="100">
        <v>61.09</v>
      </c>
      <c r="H102" s="100">
        <v>74.34</v>
      </c>
      <c r="I102" s="100">
        <v>68.13</v>
      </c>
      <c r="J102" s="100">
        <v>65.33</v>
      </c>
      <c r="K102" s="100">
        <v>58.2</v>
      </c>
      <c r="L102" s="100">
        <v>69.78</v>
      </c>
      <c r="M102" s="100">
        <v>55.83</v>
      </c>
      <c r="N102" s="100">
        <v>48.74</v>
      </c>
      <c r="O102" s="100">
        <v>56.29</v>
      </c>
      <c r="P102" s="100">
        <v>50.85</v>
      </c>
      <c r="Q102" s="97">
        <v>62.42</v>
      </c>
      <c r="R102" s="44">
        <v>64.03</v>
      </c>
      <c r="S102" s="98">
        <v>64.23</v>
      </c>
    </row>
    <row r="103" spans="1:19" ht="22.5" customHeight="1">
      <c r="A103" s="16"/>
      <c r="B103" s="17" t="s">
        <v>108</v>
      </c>
      <c r="C103" s="115"/>
      <c r="D103" s="36">
        <v>30096</v>
      </c>
      <c r="E103" s="36">
        <v>182762</v>
      </c>
      <c r="F103" s="36">
        <v>45827</v>
      </c>
      <c r="G103" s="36">
        <v>0</v>
      </c>
      <c r="H103" s="36">
        <v>23362</v>
      </c>
      <c r="I103" s="36">
        <v>0</v>
      </c>
      <c r="J103" s="36">
        <v>7373</v>
      </c>
      <c r="K103" s="36">
        <v>24214</v>
      </c>
      <c r="L103" s="36">
        <v>0</v>
      </c>
      <c r="M103" s="36">
        <v>149803</v>
      </c>
      <c r="N103" s="36">
        <v>82236</v>
      </c>
      <c r="O103" s="36">
        <v>91327</v>
      </c>
      <c r="P103" s="36">
        <v>49317</v>
      </c>
      <c r="Q103" s="37">
        <f>SUM(C103:P103)</f>
        <v>686317</v>
      </c>
      <c r="R103" s="37">
        <v>738499</v>
      </c>
      <c r="S103" s="38">
        <v>772385</v>
      </c>
    </row>
    <row r="104" spans="1:19" ht="21.75" customHeight="1">
      <c r="A104" s="16"/>
      <c r="B104" s="17" t="s">
        <v>109</v>
      </c>
      <c r="C104" s="115"/>
      <c r="D104" s="37">
        <f>D103/C5</f>
        <v>1003.2</v>
      </c>
      <c r="E104" s="37">
        <f>E103/C5</f>
        <v>6092.0666666666666</v>
      </c>
      <c r="F104" s="37">
        <f>F103/C5</f>
        <v>1527.5666666666666</v>
      </c>
      <c r="G104" s="37">
        <f>G103/C5</f>
        <v>0</v>
      </c>
      <c r="H104" s="37">
        <f>H103/C5</f>
        <v>778.73333333333335</v>
      </c>
      <c r="I104" s="37">
        <f>I103/C5</f>
        <v>0</v>
      </c>
      <c r="J104" s="37">
        <f>J103/C5</f>
        <v>245.76666666666668</v>
      </c>
      <c r="K104" s="37">
        <f>K103/C5</f>
        <v>807.13333333333333</v>
      </c>
      <c r="L104" s="37">
        <f>L103/C5</f>
        <v>0</v>
      </c>
      <c r="M104" s="37">
        <f>M103/C5</f>
        <v>4993.4333333333334</v>
      </c>
      <c r="N104" s="37">
        <f>N103/C5</f>
        <v>2741.2</v>
      </c>
      <c r="O104" s="37">
        <f>O103/C5</f>
        <v>3044.2333333333331</v>
      </c>
      <c r="P104" s="37">
        <f>P103/C5</f>
        <v>1643.9</v>
      </c>
      <c r="Q104" s="37">
        <f>Q103/C5</f>
        <v>22877.233333333334</v>
      </c>
      <c r="R104" s="37">
        <v>23822.548387096773</v>
      </c>
      <c r="S104" s="38">
        <v>25746.166666666668</v>
      </c>
    </row>
    <row r="105" spans="1:19" s="15" customFormat="1" ht="25.5">
      <c r="A105" s="132"/>
      <c r="B105" s="11" t="s">
        <v>110</v>
      </c>
      <c r="C105" s="110"/>
      <c r="D105" s="100">
        <v>74.08</v>
      </c>
      <c r="E105" s="100">
        <v>65.900000000000006</v>
      </c>
      <c r="F105" s="100">
        <v>68.08</v>
      </c>
      <c r="G105" s="100">
        <v>0</v>
      </c>
      <c r="H105" s="100">
        <v>85.55</v>
      </c>
      <c r="I105" s="100">
        <v>0</v>
      </c>
      <c r="J105" s="100">
        <v>74.099999999999994</v>
      </c>
      <c r="K105" s="100">
        <v>87.42</v>
      </c>
      <c r="L105" s="100">
        <v>0</v>
      </c>
      <c r="M105" s="100">
        <v>76.709999999999994</v>
      </c>
      <c r="N105" s="100">
        <v>77.650000000000006</v>
      </c>
      <c r="O105" s="100">
        <v>76.709999999999994</v>
      </c>
      <c r="P105" s="100">
        <v>69.66</v>
      </c>
      <c r="Q105" s="133">
        <v>72.91</v>
      </c>
      <c r="R105" s="107">
        <v>71.510000000000005</v>
      </c>
      <c r="S105" s="179">
        <v>69.84</v>
      </c>
    </row>
    <row r="106" spans="1:19" s="21" customFormat="1" ht="21" customHeight="1">
      <c r="A106" s="81">
        <v>26</v>
      </c>
      <c r="B106" s="82" t="s">
        <v>111</v>
      </c>
      <c r="C106" s="112"/>
      <c r="D106" s="94">
        <f>SUM(D46/D100)</f>
        <v>3.4725929020969888</v>
      </c>
      <c r="E106" s="94">
        <f>SUM(E46/E100)</f>
        <v>3.8209582318257245</v>
      </c>
      <c r="F106" s="94">
        <f t="shared" ref="F106:O106" si="34">SUM(F46/F100)</f>
        <v>3.0882332169341233</v>
      </c>
      <c r="G106" s="94">
        <v>3.06</v>
      </c>
      <c r="H106" s="94">
        <f t="shared" si="34"/>
        <v>3.1988678399282593</v>
      </c>
      <c r="I106" s="94">
        <f t="shared" si="34"/>
        <v>3.142525798881973</v>
      </c>
      <c r="J106" s="94">
        <f t="shared" si="34"/>
        <v>2.9745471672194204</v>
      </c>
      <c r="K106" s="94">
        <f t="shared" si="34"/>
        <v>4.0143076357820568</v>
      </c>
      <c r="L106" s="94">
        <f t="shared" si="34"/>
        <v>3.9041249597280392</v>
      </c>
      <c r="M106" s="94">
        <f t="shared" si="34"/>
        <v>4.3924235387779476</v>
      </c>
      <c r="N106" s="94">
        <f t="shared" si="34"/>
        <v>4.2072790821366155</v>
      </c>
      <c r="O106" s="94">
        <f t="shared" si="34"/>
        <v>4.0374062376628501</v>
      </c>
      <c r="P106" s="94">
        <f>SUM(P46/P100)</f>
        <v>4.2436905932481155</v>
      </c>
      <c r="Q106" s="94">
        <f>SUM(Q46/Q100)</f>
        <v>3.3805019099491957</v>
      </c>
      <c r="R106" s="145">
        <v>3.3982945864548251</v>
      </c>
      <c r="S106" s="95">
        <v>3.2590522376605247</v>
      </c>
    </row>
    <row r="107" spans="1:19" s="21" customFormat="1" ht="20.25" customHeight="1">
      <c r="A107" s="16"/>
      <c r="B107" s="11" t="s">
        <v>112</v>
      </c>
      <c r="C107" s="115"/>
      <c r="D107" s="97">
        <f>SUM(D47/D103)</f>
        <v>2.7057083997873472</v>
      </c>
      <c r="E107" s="97">
        <f>SUM(E47/E103)</f>
        <v>3.1173766975629507</v>
      </c>
      <c r="F107" s="97">
        <f>SUM(F47/F103)</f>
        <v>2.5840443406725293</v>
      </c>
      <c r="G107" s="97">
        <v>0</v>
      </c>
      <c r="H107" s="97">
        <f>SUM(H47/H103)</f>
        <v>2.7831949319407583</v>
      </c>
      <c r="I107" s="97">
        <v>0</v>
      </c>
      <c r="J107" s="97">
        <f>SUM(J47/J103)</f>
        <v>2.6331208463312086</v>
      </c>
      <c r="K107" s="97">
        <f t="shared" ref="K107:Q107" si="35">SUM(K47/K103)</f>
        <v>2.6844800528619808</v>
      </c>
      <c r="L107" s="97">
        <v>0</v>
      </c>
      <c r="M107" s="97">
        <f t="shared" si="35"/>
        <v>3.2137140110678692</v>
      </c>
      <c r="N107" s="97">
        <f t="shared" si="35"/>
        <v>2.7326718225594631</v>
      </c>
      <c r="O107" s="97">
        <f t="shared" si="35"/>
        <v>2.8157280979337984</v>
      </c>
      <c r="P107" s="97">
        <f t="shared" si="35"/>
        <v>3.0220208041851695</v>
      </c>
      <c r="Q107" s="97">
        <f t="shared" si="35"/>
        <v>2.9598013745834653</v>
      </c>
      <c r="R107" s="90">
        <v>2.979048042042034</v>
      </c>
      <c r="S107" s="98">
        <v>3.0243401930384457</v>
      </c>
    </row>
    <row r="108" spans="1:19" s="21" customFormat="1" ht="34.5" customHeight="1">
      <c r="A108" s="28">
        <v>27</v>
      </c>
      <c r="B108" s="11" t="s">
        <v>113</v>
      </c>
      <c r="C108" s="135"/>
      <c r="D108" s="36">
        <v>1226</v>
      </c>
      <c r="E108" s="36">
        <v>623</v>
      </c>
      <c r="F108" s="36">
        <v>848</v>
      </c>
      <c r="G108" s="36">
        <v>745</v>
      </c>
      <c r="H108" s="36">
        <v>1146</v>
      </c>
      <c r="I108" s="36">
        <v>460</v>
      </c>
      <c r="J108" s="36">
        <v>658</v>
      </c>
      <c r="K108" s="36">
        <v>520</v>
      </c>
      <c r="L108" s="36">
        <v>670</v>
      </c>
      <c r="M108" s="36">
        <v>746</v>
      </c>
      <c r="N108" s="36">
        <v>660</v>
      </c>
      <c r="O108" s="36">
        <v>552</v>
      </c>
      <c r="P108" s="36">
        <v>389</v>
      </c>
      <c r="Q108" s="44">
        <f>SUM(D108:P108)</f>
        <v>9243</v>
      </c>
      <c r="R108" s="45">
        <v>9917</v>
      </c>
      <c r="S108" s="14">
        <v>9419</v>
      </c>
    </row>
    <row r="109" spans="1:19" s="21" customFormat="1" ht="18" customHeight="1">
      <c r="A109" s="16"/>
      <c r="B109" s="11" t="s">
        <v>114</v>
      </c>
      <c r="C109" s="115"/>
      <c r="D109" s="136">
        <f t="shared" ref="D109:Q109" si="36">SUM(D108)/$C5</f>
        <v>40.866666666666667</v>
      </c>
      <c r="E109" s="136">
        <f t="shared" si="36"/>
        <v>20.766666666666666</v>
      </c>
      <c r="F109" s="136">
        <f t="shared" si="36"/>
        <v>28.266666666666666</v>
      </c>
      <c r="G109" s="136">
        <f t="shared" si="36"/>
        <v>24.833333333333332</v>
      </c>
      <c r="H109" s="136">
        <f t="shared" si="36"/>
        <v>38.200000000000003</v>
      </c>
      <c r="I109" s="136">
        <f t="shared" si="36"/>
        <v>15.333333333333334</v>
      </c>
      <c r="J109" s="136">
        <f t="shared" si="36"/>
        <v>21.933333333333334</v>
      </c>
      <c r="K109" s="136">
        <f t="shared" si="36"/>
        <v>17.333333333333332</v>
      </c>
      <c r="L109" s="136">
        <f t="shared" si="36"/>
        <v>22.333333333333332</v>
      </c>
      <c r="M109" s="136">
        <f t="shared" si="36"/>
        <v>24.866666666666667</v>
      </c>
      <c r="N109" s="136">
        <f t="shared" si="36"/>
        <v>22</v>
      </c>
      <c r="O109" s="136">
        <f t="shared" si="36"/>
        <v>18.399999999999999</v>
      </c>
      <c r="P109" s="136">
        <f t="shared" si="36"/>
        <v>12.966666666666667</v>
      </c>
      <c r="Q109" s="136">
        <f t="shared" si="36"/>
        <v>308.10000000000002</v>
      </c>
      <c r="R109" s="97">
        <v>319.90322580645159</v>
      </c>
      <c r="S109" s="180">
        <v>313.96666666666664</v>
      </c>
    </row>
    <row r="110" spans="1:19" s="21" customFormat="1" ht="22.5" customHeight="1">
      <c r="A110" s="16">
        <v>28</v>
      </c>
      <c r="B110" s="17" t="s">
        <v>115</v>
      </c>
      <c r="C110" s="109"/>
      <c r="D110" s="136">
        <f t="shared" ref="D110:Q110" si="37">SUM(D48/D108)</f>
        <v>500.2732463295269</v>
      </c>
      <c r="E110" s="136">
        <f t="shared" si="37"/>
        <v>1088.2166934189406</v>
      </c>
      <c r="F110" s="136">
        <f t="shared" si="37"/>
        <v>603.7358490566038</v>
      </c>
      <c r="G110" s="136">
        <f t="shared" si="37"/>
        <v>681.79731543624166</v>
      </c>
      <c r="H110" s="136">
        <f t="shared" si="37"/>
        <v>554.76701570680632</v>
      </c>
      <c r="I110" s="136">
        <f t="shared" si="37"/>
        <v>754.02173913043475</v>
      </c>
      <c r="J110" s="136">
        <f t="shared" si="37"/>
        <v>720.57142857142856</v>
      </c>
      <c r="K110" s="136">
        <f t="shared" si="37"/>
        <v>839.38076923076926</v>
      </c>
      <c r="L110" s="136">
        <f t="shared" si="37"/>
        <v>524.51044776119409</v>
      </c>
      <c r="M110" s="136">
        <f t="shared" si="37"/>
        <v>822.83914209115278</v>
      </c>
      <c r="N110" s="136">
        <f t="shared" si="37"/>
        <v>424.38787878787878</v>
      </c>
      <c r="O110" s="136">
        <f t="shared" si="37"/>
        <v>539.96195652173913</v>
      </c>
      <c r="P110" s="136">
        <f t="shared" si="37"/>
        <v>649.40102827763496</v>
      </c>
      <c r="Q110" s="136">
        <f t="shared" si="37"/>
        <v>649.18965703775825</v>
      </c>
      <c r="R110" s="145">
        <v>647.71785822325296</v>
      </c>
      <c r="S110" s="180">
        <v>626.72311285699118</v>
      </c>
    </row>
    <row r="111" spans="1:19" s="21" customFormat="1" ht="30" customHeight="1">
      <c r="A111" s="16">
        <v>29</v>
      </c>
      <c r="B111" s="17" t="s">
        <v>116</v>
      </c>
      <c r="C111" s="109"/>
      <c r="D111" s="36">
        <v>3</v>
      </c>
      <c r="E111" s="36">
        <v>16</v>
      </c>
      <c r="F111" s="36">
        <v>13</v>
      </c>
      <c r="G111" s="36">
        <v>9</v>
      </c>
      <c r="H111" s="36">
        <v>16</v>
      </c>
      <c r="I111" s="36">
        <v>7</v>
      </c>
      <c r="J111" s="36">
        <v>14</v>
      </c>
      <c r="K111" s="36">
        <v>5</v>
      </c>
      <c r="L111" s="36">
        <v>5</v>
      </c>
      <c r="M111" s="36">
        <v>7</v>
      </c>
      <c r="N111" s="36">
        <v>2</v>
      </c>
      <c r="O111" s="36">
        <v>4</v>
      </c>
      <c r="P111" s="36">
        <v>2</v>
      </c>
      <c r="Q111" s="137">
        <f>SUM(D111:P111)</f>
        <v>103</v>
      </c>
      <c r="R111" s="185">
        <v>143</v>
      </c>
      <c r="S111" s="181">
        <v>203</v>
      </c>
    </row>
    <row r="112" spans="1:19" s="21" customFormat="1" ht="21" customHeight="1">
      <c r="A112" s="16">
        <v>30</v>
      </c>
      <c r="B112" s="17" t="s">
        <v>117</v>
      </c>
      <c r="C112" s="115"/>
      <c r="D112" s="36">
        <v>43691</v>
      </c>
      <c r="E112" s="36">
        <v>44489.9375</v>
      </c>
      <c r="F112" s="36">
        <v>50796</v>
      </c>
      <c r="G112" s="36">
        <v>44192.777777777781</v>
      </c>
      <c r="H112" s="36">
        <v>49491.5625</v>
      </c>
      <c r="I112" s="36">
        <v>38457.571428571428</v>
      </c>
      <c r="J112" s="36">
        <v>52026.142857142855</v>
      </c>
      <c r="K112" s="36">
        <v>44549.599999999999</v>
      </c>
      <c r="L112" s="36">
        <v>44084.2</v>
      </c>
      <c r="M112" s="36">
        <v>51397</v>
      </c>
      <c r="N112" s="36">
        <v>37498.5</v>
      </c>
      <c r="O112" s="36">
        <v>50580.5</v>
      </c>
      <c r="P112" s="36">
        <v>43889</v>
      </c>
      <c r="Q112" s="138">
        <v>47169.65048543689</v>
      </c>
      <c r="R112" s="136">
        <v>45264.944055944055</v>
      </c>
      <c r="S112" s="116">
        <v>46827</v>
      </c>
    </row>
    <row r="113" spans="1:19" s="21" customFormat="1" ht="25.5">
      <c r="A113" s="77">
        <v>31</v>
      </c>
      <c r="B113" s="78" t="s">
        <v>118</v>
      </c>
      <c r="C113" s="110"/>
      <c r="D113" s="128">
        <v>10</v>
      </c>
      <c r="E113" s="128">
        <v>7</v>
      </c>
      <c r="F113" s="128">
        <v>14</v>
      </c>
      <c r="G113" s="128">
        <v>9</v>
      </c>
      <c r="H113" s="128">
        <v>29</v>
      </c>
      <c r="I113" s="128">
        <v>11</v>
      </c>
      <c r="J113" s="128">
        <v>11</v>
      </c>
      <c r="K113" s="128">
        <v>10</v>
      </c>
      <c r="L113" s="128">
        <v>5</v>
      </c>
      <c r="M113" s="128">
        <v>8</v>
      </c>
      <c r="N113" s="128">
        <v>6</v>
      </c>
      <c r="O113" s="128">
        <v>9</v>
      </c>
      <c r="P113" s="128">
        <v>3</v>
      </c>
      <c r="Q113" s="137">
        <f>SUM(D113:P113)</f>
        <v>132</v>
      </c>
      <c r="R113" s="137">
        <v>178</v>
      </c>
      <c r="S113" s="181">
        <v>260</v>
      </c>
    </row>
    <row r="114" spans="1:19" s="15" customFormat="1" ht="24.75" customHeight="1">
      <c r="A114" s="51">
        <v>32</v>
      </c>
      <c r="B114" s="40" t="s">
        <v>119</v>
      </c>
      <c r="C114" s="139"/>
      <c r="D114" s="166">
        <v>43428.9</v>
      </c>
      <c r="E114" s="166">
        <v>41701.571428571428</v>
      </c>
      <c r="F114" s="166">
        <v>40595.714285714283</v>
      </c>
      <c r="G114" s="166">
        <v>41967.555555555555</v>
      </c>
      <c r="H114" s="166">
        <v>42412.068965517239</v>
      </c>
      <c r="I114" s="166">
        <v>38258.909090909088</v>
      </c>
      <c r="J114" s="166">
        <v>39457.909090909088</v>
      </c>
      <c r="K114" s="166">
        <v>40181.599999999999</v>
      </c>
      <c r="L114" s="166">
        <v>34211.599999999999</v>
      </c>
      <c r="M114" s="166">
        <v>49501.75</v>
      </c>
      <c r="N114" s="166">
        <v>37290.833333333336</v>
      </c>
      <c r="O114" s="166">
        <v>36838.222222222219</v>
      </c>
      <c r="P114" s="166">
        <v>44284.333333333336</v>
      </c>
      <c r="Q114" s="166">
        <f>[1]Apr19!AL34/[1]Apr19!AK34</f>
        <v>41016.007575757576</v>
      </c>
      <c r="R114" s="59">
        <v>40025.039325842699</v>
      </c>
      <c r="S114" s="60">
        <v>37890</v>
      </c>
    </row>
    <row r="115" spans="1:19" s="15" customFormat="1">
      <c r="A115" s="665" t="s">
        <v>120</v>
      </c>
      <c r="B115" s="666"/>
      <c r="C115" s="126"/>
      <c r="D115" s="13"/>
      <c r="E115" s="13"/>
      <c r="F115" s="13"/>
      <c r="G115" s="13"/>
      <c r="H115" s="13"/>
      <c r="I115" s="13"/>
      <c r="J115" s="13" t="s">
        <v>121</v>
      </c>
      <c r="K115" s="13"/>
      <c r="L115" s="13"/>
      <c r="M115" s="13"/>
      <c r="N115" s="13"/>
      <c r="O115" s="13"/>
      <c r="P115" s="13"/>
      <c r="Q115" s="13"/>
      <c r="R115" s="127"/>
      <c r="S115" s="58"/>
    </row>
    <row r="116" spans="1:19" s="21" customFormat="1" ht="18.95" customHeight="1">
      <c r="A116" s="16">
        <v>33</v>
      </c>
      <c r="B116" s="66" t="s">
        <v>122</v>
      </c>
      <c r="C116" s="141" t="s">
        <v>123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97"/>
      <c r="R116" s="37"/>
      <c r="S116" s="98"/>
    </row>
    <row r="117" spans="1:19" s="21" customFormat="1" ht="18.95" customHeight="1">
      <c r="A117" s="16"/>
      <c r="B117" s="17" t="s">
        <v>124</v>
      </c>
      <c r="C117" s="142">
        <v>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3" t="s">
        <v>72</v>
      </c>
      <c r="N117" s="63" t="s">
        <v>72</v>
      </c>
      <c r="O117" s="63" t="s">
        <v>72</v>
      </c>
      <c r="P117" s="63" t="s">
        <v>72</v>
      </c>
      <c r="Q117" s="97">
        <v>0.48</v>
      </c>
      <c r="R117" s="13">
        <v>0.47</v>
      </c>
      <c r="S117" s="98">
        <v>0.5</v>
      </c>
    </row>
    <row r="118" spans="1:19" s="21" customFormat="1" ht="18.95" customHeight="1">
      <c r="A118" s="16"/>
      <c r="B118" s="17" t="s">
        <v>125</v>
      </c>
      <c r="C118" s="142">
        <v>6.5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3" t="s">
        <v>72</v>
      </c>
      <c r="N118" s="63" t="s">
        <v>72</v>
      </c>
      <c r="O118" s="63" t="s">
        <v>72</v>
      </c>
      <c r="P118" s="63" t="s">
        <v>72</v>
      </c>
      <c r="Q118" s="97">
        <v>5.07</v>
      </c>
      <c r="R118" s="97">
        <v>4.99</v>
      </c>
      <c r="S118" s="98">
        <v>4.9400000000000004</v>
      </c>
    </row>
    <row r="119" spans="1:19" s="21" customFormat="1" ht="18.95" customHeight="1">
      <c r="A119" s="16"/>
      <c r="B119" s="17" t="s">
        <v>126</v>
      </c>
      <c r="C119" s="143">
        <v>1.5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97">
        <v>1.02</v>
      </c>
      <c r="R119" s="97">
        <v>1</v>
      </c>
      <c r="S119" s="98">
        <v>0.96</v>
      </c>
    </row>
    <row r="120" spans="1:19" s="21" customFormat="1" ht="18.95" customHeight="1">
      <c r="A120" s="77"/>
      <c r="B120" s="66" t="s">
        <v>127</v>
      </c>
      <c r="C120" s="144">
        <f>SUM(C117:C119)</f>
        <v>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3" t="s">
        <v>72</v>
      </c>
      <c r="N120" s="63" t="s">
        <v>72</v>
      </c>
      <c r="O120" s="63" t="s">
        <v>72</v>
      </c>
      <c r="P120" s="63" t="s">
        <v>72</v>
      </c>
      <c r="Q120" s="97">
        <f>SUM(Q117:Q119)</f>
        <v>6.57</v>
      </c>
      <c r="R120" s="97">
        <v>6.46</v>
      </c>
      <c r="S120" s="98">
        <v>6.4</v>
      </c>
    </row>
    <row r="121" spans="1:19" s="21" customFormat="1" ht="27.95" customHeight="1">
      <c r="A121" s="28">
        <v>34</v>
      </c>
      <c r="B121" s="11" t="s">
        <v>128</v>
      </c>
      <c r="C121" s="126"/>
      <c r="D121" s="44" t="s">
        <v>72</v>
      </c>
      <c r="E121" s="44" t="s">
        <v>72</v>
      </c>
      <c r="F121" s="44" t="s">
        <v>72</v>
      </c>
      <c r="G121" s="44" t="s">
        <v>72</v>
      </c>
      <c r="H121" s="44" t="s">
        <v>72</v>
      </c>
      <c r="I121" s="44" t="s">
        <v>72</v>
      </c>
      <c r="J121" s="44" t="s">
        <v>72</v>
      </c>
      <c r="K121" s="44" t="s">
        <v>72</v>
      </c>
      <c r="L121" s="44" t="s">
        <v>72</v>
      </c>
      <c r="M121" s="44" t="s">
        <v>72</v>
      </c>
      <c r="N121" s="44" t="s">
        <v>72</v>
      </c>
      <c r="O121" s="44" t="s">
        <v>72</v>
      </c>
      <c r="P121" s="44" t="s">
        <v>72</v>
      </c>
      <c r="Q121" s="145">
        <v>1075.24</v>
      </c>
      <c r="R121" s="97">
        <v>1029.05</v>
      </c>
      <c r="S121" s="140">
        <v>1092.01</v>
      </c>
    </row>
    <row r="122" spans="1:19" s="21" customFormat="1" ht="25.5">
      <c r="A122" s="39">
        <v>35</v>
      </c>
      <c r="B122" s="40" t="s">
        <v>129</v>
      </c>
      <c r="C122" s="146">
        <v>69</v>
      </c>
      <c r="D122" s="36">
        <v>463</v>
      </c>
      <c r="E122" s="36">
        <v>152</v>
      </c>
      <c r="F122" s="36">
        <v>240</v>
      </c>
      <c r="G122" s="36">
        <v>84</v>
      </c>
      <c r="H122" s="36">
        <v>310</v>
      </c>
      <c r="I122" s="36">
        <v>78</v>
      </c>
      <c r="J122" s="36">
        <v>115</v>
      </c>
      <c r="K122" s="36">
        <v>65</v>
      </c>
      <c r="L122" s="36">
        <v>48</v>
      </c>
      <c r="M122" s="36">
        <v>116</v>
      </c>
      <c r="N122" s="36">
        <v>160</v>
      </c>
      <c r="O122" s="36">
        <v>63</v>
      </c>
      <c r="P122" s="36">
        <v>128</v>
      </c>
      <c r="Q122" s="147">
        <f>SUM(C122:P122)</f>
        <v>2091</v>
      </c>
      <c r="R122" s="59">
        <v>1837</v>
      </c>
      <c r="S122" s="60">
        <v>1765</v>
      </c>
    </row>
    <row r="123" spans="1:19" s="21" customFormat="1" ht="30.75" customHeight="1">
      <c r="A123" s="81">
        <v>36</v>
      </c>
      <c r="B123" s="82" t="s">
        <v>130</v>
      </c>
      <c r="C123" s="148"/>
      <c r="D123" s="113" t="s">
        <v>72</v>
      </c>
      <c r="E123" s="113" t="s">
        <v>72</v>
      </c>
      <c r="F123" s="113" t="s">
        <v>72</v>
      </c>
      <c r="G123" s="113" t="s">
        <v>72</v>
      </c>
      <c r="H123" s="113" t="s">
        <v>72</v>
      </c>
      <c r="I123" s="113" t="s">
        <v>72</v>
      </c>
      <c r="J123" s="113" t="s">
        <v>72</v>
      </c>
      <c r="K123" s="113" t="s">
        <v>72</v>
      </c>
      <c r="L123" s="113" t="s">
        <v>72</v>
      </c>
      <c r="M123" s="113" t="s">
        <v>72</v>
      </c>
      <c r="N123" s="113" t="s">
        <v>72</v>
      </c>
      <c r="O123" s="113" t="s">
        <v>72</v>
      </c>
      <c r="P123" s="113" t="s">
        <v>72</v>
      </c>
      <c r="Q123" s="113">
        <v>1281</v>
      </c>
      <c r="R123" s="45">
        <v>1422</v>
      </c>
      <c r="S123" s="182">
        <v>1877</v>
      </c>
    </row>
    <row r="124" spans="1:19" s="21" customFormat="1" ht="18" customHeight="1">
      <c r="A124" s="28">
        <v>37</v>
      </c>
      <c r="B124" s="11" t="s">
        <v>131</v>
      </c>
      <c r="C124" s="29"/>
      <c r="D124" s="44" t="s">
        <v>72</v>
      </c>
      <c r="E124" s="44" t="s">
        <v>72</v>
      </c>
      <c r="F124" s="44" t="s">
        <v>72</v>
      </c>
      <c r="G124" s="44" t="s">
        <v>72</v>
      </c>
      <c r="H124" s="44" t="s">
        <v>72</v>
      </c>
      <c r="I124" s="44" t="s">
        <v>72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44" t="s">
        <v>72</v>
      </c>
      <c r="O124" s="44" t="s">
        <v>72</v>
      </c>
      <c r="P124" s="44" t="s">
        <v>72</v>
      </c>
      <c r="Q124" s="44">
        <v>320</v>
      </c>
      <c r="R124" s="167">
        <v>320</v>
      </c>
      <c r="S124" s="14">
        <v>317</v>
      </c>
    </row>
    <row r="125" spans="1:19" s="15" customFormat="1" ht="19.5" customHeight="1" thickBot="1">
      <c r="A125" s="101"/>
      <c r="B125" s="71" t="s">
        <v>132</v>
      </c>
      <c r="C125" s="102"/>
      <c r="D125" s="150" t="s">
        <v>72</v>
      </c>
      <c r="E125" s="150" t="s">
        <v>72</v>
      </c>
      <c r="F125" s="150" t="s">
        <v>72</v>
      </c>
      <c r="G125" s="150" t="s">
        <v>72</v>
      </c>
      <c r="H125" s="150" t="s">
        <v>72</v>
      </c>
      <c r="I125" s="150" t="s">
        <v>72</v>
      </c>
      <c r="J125" s="150" t="s">
        <v>72</v>
      </c>
      <c r="K125" s="150" t="s">
        <v>72</v>
      </c>
      <c r="L125" s="150" t="s">
        <v>72</v>
      </c>
      <c r="M125" s="150" t="s">
        <v>72</v>
      </c>
      <c r="N125" s="150" t="s">
        <v>72</v>
      </c>
      <c r="O125" s="150" t="s">
        <v>72</v>
      </c>
      <c r="P125" s="150" t="s">
        <v>72</v>
      </c>
      <c r="Q125" s="151">
        <v>21.54</v>
      </c>
      <c r="R125" s="124">
        <v>21.54</v>
      </c>
      <c r="S125" s="152">
        <v>21.5</v>
      </c>
    </row>
    <row r="126" spans="1:19" s="15" customFormat="1" ht="20.100000000000001" customHeight="1" thickTop="1">
      <c r="A126" s="10">
        <v>38</v>
      </c>
      <c r="B126" s="11" t="s">
        <v>133</v>
      </c>
      <c r="C126" s="35"/>
      <c r="D126" s="13" t="s">
        <v>72</v>
      </c>
      <c r="E126" s="13" t="s">
        <v>72</v>
      </c>
      <c r="F126" s="13" t="s">
        <v>72</v>
      </c>
      <c r="G126" s="13" t="s">
        <v>72</v>
      </c>
      <c r="H126" s="13" t="s">
        <v>72</v>
      </c>
      <c r="I126" s="13" t="s">
        <v>72</v>
      </c>
      <c r="J126" s="13" t="s">
        <v>72</v>
      </c>
      <c r="K126" s="13" t="s">
        <v>72</v>
      </c>
      <c r="L126" s="13" t="s">
        <v>72</v>
      </c>
      <c r="M126" s="13" t="s">
        <v>72</v>
      </c>
      <c r="N126" s="13" t="s">
        <v>72</v>
      </c>
      <c r="O126" s="13" t="s">
        <v>72</v>
      </c>
      <c r="P126" s="13" t="s">
        <v>72</v>
      </c>
      <c r="Q126" s="36">
        <v>387204873</v>
      </c>
      <c r="R126" s="44">
        <v>421698182</v>
      </c>
      <c r="S126" s="49">
        <v>391849008</v>
      </c>
    </row>
    <row r="127" spans="1:19" s="21" customFormat="1" ht="20.100000000000001" customHeight="1">
      <c r="A127" s="16"/>
      <c r="B127" s="17" t="s">
        <v>134</v>
      </c>
      <c r="C127" s="18"/>
      <c r="D127" s="63" t="s">
        <v>72</v>
      </c>
      <c r="E127" s="63" t="s">
        <v>72</v>
      </c>
      <c r="F127" s="63" t="s">
        <v>72</v>
      </c>
      <c r="G127" s="63" t="s">
        <v>72</v>
      </c>
      <c r="H127" s="63" t="s">
        <v>72</v>
      </c>
      <c r="I127" s="63" t="s">
        <v>72</v>
      </c>
      <c r="J127" s="63" t="s">
        <v>72</v>
      </c>
      <c r="K127" s="63" t="s">
        <v>72</v>
      </c>
      <c r="L127" s="63" t="s">
        <v>72</v>
      </c>
      <c r="M127" s="63" t="s">
        <v>72</v>
      </c>
      <c r="N127" s="63" t="s">
        <v>72</v>
      </c>
      <c r="O127" s="63" t="s">
        <v>72</v>
      </c>
      <c r="P127" s="63" t="s">
        <v>72</v>
      </c>
      <c r="Q127" s="37">
        <f>Q126/30</f>
        <v>12906829.1</v>
      </c>
      <c r="R127" s="128">
        <v>13603167.161290323</v>
      </c>
      <c r="S127" s="38">
        <v>13061633.6</v>
      </c>
    </row>
    <row r="128" spans="1:19" s="15" customFormat="1" ht="20.100000000000001" customHeight="1">
      <c r="A128" s="88"/>
      <c r="B128" s="17" t="s">
        <v>135</v>
      </c>
      <c r="C128" s="89"/>
      <c r="D128" s="19" t="s">
        <v>72</v>
      </c>
      <c r="E128" s="19" t="s">
        <v>72</v>
      </c>
      <c r="F128" s="19" t="s">
        <v>72</v>
      </c>
      <c r="G128" s="19" t="s">
        <v>72</v>
      </c>
      <c r="H128" s="19" t="s">
        <v>72</v>
      </c>
      <c r="I128" s="19" t="s">
        <v>72</v>
      </c>
      <c r="J128" s="19" t="s">
        <v>72</v>
      </c>
      <c r="K128" s="19" t="s">
        <v>72</v>
      </c>
      <c r="L128" s="19" t="s">
        <v>72</v>
      </c>
      <c r="M128" s="19" t="s">
        <v>72</v>
      </c>
      <c r="N128" s="19" t="s">
        <v>72</v>
      </c>
      <c r="O128" s="19" t="s">
        <v>72</v>
      </c>
      <c r="P128" s="19" t="s">
        <v>72</v>
      </c>
      <c r="Q128" s="90">
        <f>SUM(Q127/Q130)</f>
        <v>13.499991736937563</v>
      </c>
      <c r="R128" s="100">
        <v>13.733484192795762</v>
      </c>
      <c r="S128" s="91">
        <v>13.82325339214713</v>
      </c>
    </row>
    <row r="129" spans="1:19" s="21" customFormat="1" ht="20.100000000000001" customHeight="1">
      <c r="A129" s="77"/>
      <c r="B129" s="78" t="s">
        <v>136</v>
      </c>
      <c r="C129" s="41"/>
      <c r="D129" s="100">
        <v>42.762574279210838</v>
      </c>
      <c r="E129" s="100">
        <v>44.610855721651212</v>
      </c>
      <c r="F129" s="100">
        <v>51.09167031456861</v>
      </c>
      <c r="G129" s="100">
        <v>52.651320248311478</v>
      </c>
      <c r="H129" s="100">
        <v>46.149221634026617</v>
      </c>
      <c r="I129" s="100">
        <v>49.41427255589128</v>
      </c>
      <c r="J129" s="100">
        <v>49.012477260282878</v>
      </c>
      <c r="K129" s="100">
        <v>39.111896071485141</v>
      </c>
      <c r="L129" s="100">
        <v>43.142070917874364</v>
      </c>
      <c r="M129" s="100">
        <v>37.317371841799371</v>
      </c>
      <c r="N129" s="100">
        <v>45.698561884477066</v>
      </c>
      <c r="O129" s="100">
        <v>48.470587741669604</v>
      </c>
      <c r="P129" s="100">
        <v>43.423305044423877</v>
      </c>
      <c r="Q129" s="107">
        <f>Q126/Q34</f>
        <v>45.038177051546313</v>
      </c>
      <c r="R129" s="107">
        <v>46.092638185876879</v>
      </c>
      <c r="S129" s="108">
        <v>46.436427202939136</v>
      </c>
    </row>
    <row r="130" spans="1:19" s="21" customFormat="1" ht="63.75">
      <c r="A130" s="81">
        <v>39</v>
      </c>
      <c r="B130" s="82" t="s">
        <v>137</v>
      </c>
      <c r="C130" s="148"/>
      <c r="D130" s="113" t="s">
        <v>72</v>
      </c>
      <c r="E130" s="113" t="s">
        <v>72</v>
      </c>
      <c r="F130" s="113" t="s">
        <v>72</v>
      </c>
      <c r="G130" s="113" t="s">
        <v>72</v>
      </c>
      <c r="H130" s="113" t="s">
        <v>72</v>
      </c>
      <c r="I130" s="113" t="s">
        <v>72</v>
      </c>
      <c r="J130" s="113" t="s">
        <v>72</v>
      </c>
      <c r="K130" s="113" t="s">
        <v>72</v>
      </c>
      <c r="L130" s="113" t="s">
        <v>72</v>
      </c>
      <c r="M130" s="113" t="s">
        <v>72</v>
      </c>
      <c r="N130" s="113" t="s">
        <v>72</v>
      </c>
      <c r="O130" s="113" t="s">
        <v>72</v>
      </c>
      <c r="P130" s="113" t="s">
        <v>72</v>
      </c>
      <c r="Q130" s="45">
        <v>956062</v>
      </c>
      <c r="R130" s="36">
        <v>990511</v>
      </c>
      <c r="S130" s="46">
        <v>944903</v>
      </c>
    </row>
    <row r="131" spans="1:19" s="21" customFormat="1" ht="38.25">
      <c r="A131" s="16"/>
      <c r="B131" s="17" t="s">
        <v>138</v>
      </c>
      <c r="C131" s="89"/>
      <c r="D131" s="63" t="s">
        <v>72</v>
      </c>
      <c r="E131" s="63" t="s">
        <v>72</v>
      </c>
      <c r="F131" s="63" t="s">
        <v>72</v>
      </c>
      <c r="G131" s="63" t="s">
        <v>72</v>
      </c>
      <c r="H131" s="63" t="s">
        <v>72</v>
      </c>
      <c r="I131" s="63" t="s">
        <v>72</v>
      </c>
      <c r="J131" s="63" t="s">
        <v>72</v>
      </c>
      <c r="K131" s="63" t="s">
        <v>72</v>
      </c>
      <c r="L131" s="63" t="s">
        <v>72</v>
      </c>
      <c r="M131" s="63" t="s">
        <v>72</v>
      </c>
      <c r="N131" s="63" t="s">
        <v>72</v>
      </c>
      <c r="O131" s="63" t="s">
        <v>72</v>
      </c>
      <c r="P131" s="63" t="s">
        <v>72</v>
      </c>
      <c r="Q131" s="37">
        <f>SUM(Q130-Q65)</f>
        <v>202103.43333333323</v>
      </c>
      <c r="R131" s="37">
        <v>230346.48387096776</v>
      </c>
      <c r="S131" s="38">
        <v>185967.96666666667</v>
      </c>
    </row>
    <row r="132" spans="1:19" s="21" customFormat="1" ht="25.5">
      <c r="A132" s="16"/>
      <c r="B132" s="17" t="s">
        <v>139</v>
      </c>
      <c r="C132" s="89"/>
      <c r="D132" s="63" t="s">
        <v>72</v>
      </c>
      <c r="E132" s="63" t="s">
        <v>72</v>
      </c>
      <c r="F132" s="63" t="s">
        <v>72</v>
      </c>
      <c r="G132" s="63" t="s">
        <v>72</v>
      </c>
      <c r="H132" s="63" t="s">
        <v>72</v>
      </c>
      <c r="I132" s="63" t="s">
        <v>72</v>
      </c>
      <c r="J132" s="63" t="s">
        <v>72</v>
      </c>
      <c r="K132" s="63" t="s">
        <v>72</v>
      </c>
      <c r="L132" s="63" t="s">
        <v>72</v>
      </c>
      <c r="M132" s="63" t="s">
        <v>72</v>
      </c>
      <c r="N132" s="63" t="s">
        <v>72</v>
      </c>
      <c r="O132" s="63" t="s">
        <v>72</v>
      </c>
      <c r="P132" s="63" t="s">
        <v>72</v>
      </c>
      <c r="Q132" s="97">
        <f>SUM(Q131/Q130)*100</f>
        <v>21.13915554988413</v>
      </c>
      <c r="R132" s="145">
        <v>23.25531810055292</v>
      </c>
      <c r="S132" s="98">
        <v>19.681170095413673</v>
      </c>
    </row>
    <row r="133" spans="1:19" s="15" customFormat="1" ht="25.5">
      <c r="A133" s="88"/>
      <c r="B133" s="17" t="s">
        <v>140</v>
      </c>
      <c r="C133" s="89"/>
      <c r="D133" s="63" t="s">
        <v>72</v>
      </c>
      <c r="E133" s="63" t="s">
        <v>72</v>
      </c>
      <c r="F133" s="63" t="s">
        <v>72</v>
      </c>
      <c r="G133" s="63" t="s">
        <v>72</v>
      </c>
      <c r="H133" s="63" t="s">
        <v>72</v>
      </c>
      <c r="I133" s="63" t="s">
        <v>72</v>
      </c>
      <c r="J133" s="63" t="s">
        <v>72</v>
      </c>
      <c r="K133" s="63" t="s">
        <v>72</v>
      </c>
      <c r="L133" s="63" t="s">
        <v>72</v>
      </c>
      <c r="M133" s="63" t="s">
        <v>72</v>
      </c>
      <c r="N133" s="63" t="s">
        <v>72</v>
      </c>
      <c r="O133" s="63" t="s">
        <v>72</v>
      </c>
      <c r="P133" s="63" t="s">
        <v>72</v>
      </c>
      <c r="Q133" s="90">
        <f>Q130/1355</f>
        <v>705.58081180811803</v>
      </c>
      <c r="R133" s="97">
        <v>716.20462762111356</v>
      </c>
      <c r="S133" s="91">
        <v>693.25238444607487</v>
      </c>
    </row>
    <row r="134" spans="1:19" s="15" customFormat="1" ht="26.25" thickBot="1">
      <c r="A134" s="101"/>
      <c r="B134" s="71" t="s">
        <v>141</v>
      </c>
      <c r="C134" s="102"/>
      <c r="D134" s="124" t="s">
        <v>72</v>
      </c>
      <c r="E134" s="124" t="s">
        <v>72</v>
      </c>
      <c r="F134" s="124" t="s">
        <v>72</v>
      </c>
      <c r="G134" s="124" t="s">
        <v>72</v>
      </c>
      <c r="H134" s="124" t="s">
        <v>72</v>
      </c>
      <c r="I134" s="124" t="s">
        <v>72</v>
      </c>
      <c r="J134" s="124" t="s">
        <v>72</v>
      </c>
      <c r="K134" s="124" t="s">
        <v>72</v>
      </c>
      <c r="L134" s="124" t="s">
        <v>72</v>
      </c>
      <c r="M134" s="124" t="s">
        <v>72</v>
      </c>
      <c r="N134" s="124" t="s">
        <v>72</v>
      </c>
      <c r="O134" s="124" t="s">
        <v>72</v>
      </c>
      <c r="P134" s="124" t="s">
        <v>72</v>
      </c>
      <c r="Q134" s="151">
        <f>Q127/1355</f>
        <v>9525.3351291512918</v>
      </c>
      <c r="R134" s="73">
        <v>9835.9849322417376</v>
      </c>
      <c r="S134" s="152">
        <v>9583.0033749082904</v>
      </c>
    </row>
    <row r="135" spans="1:19" ht="13.5" thickTop="1">
      <c r="A135" s="153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S135" s="31"/>
    </row>
    <row r="136" spans="1:19" ht="12.75">
      <c r="A136" s="153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S136" s="31"/>
    </row>
    <row r="137" spans="1:19" ht="12.75">
      <c r="A137" s="153"/>
      <c r="C137" s="155"/>
      <c r="D137" s="155">
        <f>D129*D34</f>
        <v>32093311.996547733</v>
      </c>
      <c r="E137" s="155">
        <f t="shared" ref="E137:Q137" si="38">E129*E34</f>
        <v>46981253.540421151</v>
      </c>
      <c r="F137" s="155">
        <f t="shared" si="38"/>
        <v>28978122.477346711</v>
      </c>
      <c r="G137" s="155">
        <f t="shared" si="38"/>
        <v>51153284.884606518</v>
      </c>
      <c r="H137" s="155">
        <f t="shared" si="38"/>
        <v>33733973.43315424</v>
      </c>
      <c r="I137" s="155">
        <f t="shared" si="38"/>
        <v>19849317.97152108</v>
      </c>
      <c r="J137" s="155">
        <f t="shared" si="38"/>
        <v>28828796.037157565</v>
      </c>
      <c r="K137" s="155">
        <f t="shared" si="38"/>
        <v>39220783.590148158</v>
      </c>
      <c r="L137" s="155">
        <f t="shared" si="38"/>
        <v>32183553.484025095</v>
      </c>
      <c r="M137" s="155">
        <f t="shared" si="38"/>
        <v>27034458.07867603</v>
      </c>
      <c r="N137" s="155">
        <f t="shared" si="38"/>
        <v>21804520.420435619</v>
      </c>
      <c r="O137" s="155">
        <f t="shared" si="38"/>
        <v>16584066.184049031</v>
      </c>
      <c r="P137" s="155">
        <f t="shared" si="38"/>
        <v>10488030.867379699</v>
      </c>
      <c r="Q137" s="155">
        <f t="shared" si="38"/>
        <v>387204873</v>
      </c>
      <c r="S137" s="31"/>
    </row>
    <row r="138" spans="1:19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156"/>
      <c r="N138" s="155"/>
      <c r="O138" s="155"/>
      <c r="P138" s="155"/>
      <c r="Q138" s="158"/>
      <c r="R138" s="159"/>
      <c r="S138" s="31"/>
    </row>
    <row r="139" spans="1:19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156"/>
      <c r="N139" s="155"/>
      <c r="O139" s="155"/>
      <c r="P139" s="155"/>
      <c r="Q139" s="158"/>
      <c r="R139" s="159"/>
      <c r="S139" s="31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N140" s="155"/>
      <c r="O140" s="155"/>
      <c r="P140" s="155"/>
      <c r="Q140" s="155"/>
      <c r="R140" s="159"/>
      <c r="S140" s="31"/>
    </row>
    <row r="141" spans="1:19" s="161" customFormat="1" ht="16.5">
      <c r="A141" s="660" t="s">
        <v>142</v>
      </c>
      <c r="B141" s="660"/>
      <c r="C141" s="160"/>
      <c r="D141" s="160"/>
      <c r="E141" s="160"/>
      <c r="F141" s="160"/>
      <c r="G141" s="160"/>
      <c r="I141" s="162"/>
      <c r="J141" s="162"/>
      <c r="K141" s="162"/>
      <c r="L141" s="162"/>
      <c r="M141" s="661" t="s">
        <v>143</v>
      </c>
      <c r="N141" s="661"/>
      <c r="O141" s="661"/>
      <c r="P141" s="661"/>
      <c r="Q141" s="661"/>
      <c r="R141" s="661"/>
      <c r="S141" s="163"/>
    </row>
    <row r="142" spans="1:19" s="161" customFormat="1" ht="16.5">
      <c r="A142" s="660" t="s">
        <v>151</v>
      </c>
      <c r="B142" s="660"/>
      <c r="C142" s="160"/>
      <c r="D142" s="160"/>
      <c r="E142" s="160"/>
      <c r="F142" s="160"/>
      <c r="G142" s="160"/>
      <c r="I142" s="162"/>
      <c r="J142" s="162"/>
      <c r="K142" s="162"/>
      <c r="L142" s="162"/>
      <c r="M142" s="661" t="s">
        <v>144</v>
      </c>
      <c r="N142" s="661"/>
      <c r="O142" s="661"/>
      <c r="P142" s="661"/>
      <c r="Q142" s="661"/>
      <c r="R142" s="661"/>
    </row>
    <row r="143" spans="1:19">
      <c r="R143" s="164"/>
    </row>
    <row r="149" spans="4:17">
      <c r="H149" s="165"/>
    </row>
    <row r="150" spans="4:17">
      <c r="H150" s="165"/>
    </row>
    <row r="151" spans="4:17">
      <c r="H151" s="165"/>
    </row>
    <row r="152" spans="4:17">
      <c r="D152" s="189" t="e">
        <f>D131*D36</f>
        <v>#VALUE!</v>
      </c>
      <c r="E152" s="189" t="e">
        <f t="shared" ref="E152:N152" si="39">E131*E36</f>
        <v>#VALUE!</v>
      </c>
      <c r="F152" s="189" t="e">
        <f t="shared" si="39"/>
        <v>#VALUE!</v>
      </c>
      <c r="G152" s="189" t="e">
        <f t="shared" si="39"/>
        <v>#VALUE!</v>
      </c>
      <c r="H152" s="189" t="e">
        <f t="shared" si="39"/>
        <v>#VALUE!</v>
      </c>
      <c r="I152" s="189" t="e">
        <f t="shared" si="39"/>
        <v>#VALUE!</v>
      </c>
      <c r="J152" s="189" t="e">
        <f t="shared" si="39"/>
        <v>#VALUE!</v>
      </c>
      <c r="K152" s="189" t="e">
        <f t="shared" si="39"/>
        <v>#VALUE!</v>
      </c>
      <c r="L152" s="189" t="e">
        <f t="shared" si="39"/>
        <v>#VALUE!</v>
      </c>
      <c r="M152" s="189" t="e">
        <f t="shared" si="39"/>
        <v>#VALUE!</v>
      </c>
      <c r="N152" s="189" t="e">
        <f t="shared" si="39"/>
        <v>#VALUE!</v>
      </c>
      <c r="O152" s="189" t="e">
        <f>O131*O36</f>
        <v>#VALUE!</v>
      </c>
      <c r="P152" s="189" t="e">
        <f>P131*P36</f>
        <v>#VALUE!</v>
      </c>
      <c r="Q152" s="189">
        <f>Q131*Q36</f>
        <v>42743802.242457539</v>
      </c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87" right="0.15" top="0.79" bottom="0.39370078740157483" header="0.31496062992125984" footer="0.19685039370078741"/>
  <pageSetup paperSize="5" scale="78" orientation="landscape" verticalDpi="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45"/>
  <sheetViews>
    <sheetView topLeftCell="A133" zoomScale="85" zoomScaleNormal="85" workbookViewId="0">
      <selection activeCell="V159" sqref="V159"/>
    </sheetView>
  </sheetViews>
  <sheetFormatPr defaultRowHeight="14.25"/>
  <cols>
    <col min="1" max="1" width="3.7109375" style="376" customWidth="1"/>
    <col min="2" max="2" width="27.28515625" style="573" customWidth="1"/>
    <col min="3" max="3" width="7.140625" style="376" customWidth="1"/>
    <col min="4" max="8" width="10.140625" style="376" customWidth="1"/>
    <col min="9" max="9" width="10.5703125" style="376" customWidth="1"/>
    <col min="10" max="15" width="10.140625" style="376" customWidth="1"/>
    <col min="16" max="16" width="11.140625" style="376" customWidth="1"/>
    <col min="17" max="17" width="11.5703125" style="376" customWidth="1"/>
    <col min="18" max="18" width="11.85546875" style="376" bestFit="1" customWidth="1"/>
    <col min="19" max="19" width="11.42578125" style="579" customWidth="1"/>
    <col min="20" max="247" width="9.140625" style="376"/>
    <col min="248" max="248" width="3.7109375" style="376" customWidth="1"/>
    <col min="249" max="249" width="30.42578125" style="376" customWidth="1"/>
    <col min="250" max="250" width="7.140625" style="376" customWidth="1"/>
    <col min="251" max="251" width="10.7109375" style="376" customWidth="1"/>
    <col min="252" max="252" width="10.42578125" style="376" customWidth="1"/>
    <col min="253" max="253" width="10.5703125" style="376" customWidth="1"/>
    <col min="254" max="254" width="10.42578125" style="376" customWidth="1"/>
    <col min="255" max="257" width="10.5703125" style="376" customWidth="1"/>
    <col min="258" max="260" width="10.42578125" style="376" customWidth="1"/>
    <col min="261" max="261" width="10.5703125" style="376" customWidth="1"/>
    <col min="262" max="262" width="10.28515625" style="376" customWidth="1"/>
    <col min="263" max="263" width="10.140625" style="376" customWidth="1"/>
    <col min="264" max="264" width="11.7109375" style="376" customWidth="1"/>
    <col min="265" max="265" width="12.42578125" style="376" customWidth="1"/>
    <col min="266" max="266" width="11.7109375" style="376" customWidth="1"/>
    <col min="267" max="267" width="13.140625" style="376" customWidth="1"/>
    <col min="268" max="503" width="9.140625" style="376"/>
    <col min="504" max="504" width="3.7109375" style="376" customWidth="1"/>
    <col min="505" max="505" width="30.42578125" style="376" customWidth="1"/>
    <col min="506" max="506" width="7.140625" style="376" customWidth="1"/>
    <col min="507" max="507" width="10.7109375" style="376" customWidth="1"/>
    <col min="508" max="508" width="10.42578125" style="376" customWidth="1"/>
    <col min="509" max="509" width="10.5703125" style="376" customWidth="1"/>
    <col min="510" max="510" width="10.42578125" style="376" customWidth="1"/>
    <col min="511" max="513" width="10.5703125" style="376" customWidth="1"/>
    <col min="514" max="516" width="10.42578125" style="376" customWidth="1"/>
    <col min="517" max="517" width="10.5703125" style="376" customWidth="1"/>
    <col min="518" max="518" width="10.28515625" style="376" customWidth="1"/>
    <col min="519" max="519" width="10.140625" style="376" customWidth="1"/>
    <col min="520" max="520" width="11.7109375" style="376" customWidth="1"/>
    <col min="521" max="521" width="12.42578125" style="376" customWidth="1"/>
    <col min="522" max="522" width="11.7109375" style="376" customWidth="1"/>
    <col min="523" max="523" width="13.140625" style="376" customWidth="1"/>
    <col min="524" max="759" width="9.140625" style="376"/>
    <col min="760" max="760" width="3.7109375" style="376" customWidth="1"/>
    <col min="761" max="761" width="30.42578125" style="376" customWidth="1"/>
    <col min="762" max="762" width="7.140625" style="376" customWidth="1"/>
    <col min="763" max="763" width="10.7109375" style="376" customWidth="1"/>
    <col min="764" max="764" width="10.42578125" style="376" customWidth="1"/>
    <col min="765" max="765" width="10.5703125" style="376" customWidth="1"/>
    <col min="766" max="766" width="10.42578125" style="376" customWidth="1"/>
    <col min="767" max="769" width="10.5703125" style="376" customWidth="1"/>
    <col min="770" max="772" width="10.42578125" style="376" customWidth="1"/>
    <col min="773" max="773" width="10.5703125" style="376" customWidth="1"/>
    <col min="774" max="774" width="10.28515625" style="376" customWidth="1"/>
    <col min="775" max="775" width="10.140625" style="376" customWidth="1"/>
    <col min="776" max="776" width="11.7109375" style="376" customWidth="1"/>
    <col min="777" max="777" width="12.42578125" style="376" customWidth="1"/>
    <col min="778" max="778" width="11.7109375" style="376" customWidth="1"/>
    <col min="779" max="779" width="13.140625" style="376" customWidth="1"/>
    <col min="780" max="1015" width="9.140625" style="376"/>
    <col min="1016" max="1016" width="3.7109375" style="376" customWidth="1"/>
    <col min="1017" max="1017" width="30.42578125" style="376" customWidth="1"/>
    <col min="1018" max="1018" width="7.140625" style="376" customWidth="1"/>
    <col min="1019" max="1019" width="10.7109375" style="376" customWidth="1"/>
    <col min="1020" max="1020" width="10.42578125" style="376" customWidth="1"/>
    <col min="1021" max="1021" width="10.5703125" style="376" customWidth="1"/>
    <col min="1022" max="1022" width="10.42578125" style="376" customWidth="1"/>
    <col min="1023" max="1025" width="10.5703125" style="376" customWidth="1"/>
    <col min="1026" max="1028" width="10.42578125" style="376" customWidth="1"/>
    <col min="1029" max="1029" width="10.5703125" style="376" customWidth="1"/>
    <col min="1030" max="1030" width="10.28515625" style="376" customWidth="1"/>
    <col min="1031" max="1031" width="10.140625" style="376" customWidth="1"/>
    <col min="1032" max="1032" width="11.7109375" style="376" customWidth="1"/>
    <col min="1033" max="1033" width="12.42578125" style="376" customWidth="1"/>
    <col min="1034" max="1034" width="11.7109375" style="376" customWidth="1"/>
    <col min="1035" max="1035" width="13.140625" style="376" customWidth="1"/>
    <col min="1036" max="1271" width="9.140625" style="376"/>
    <col min="1272" max="1272" width="3.7109375" style="376" customWidth="1"/>
    <col min="1273" max="1273" width="30.42578125" style="376" customWidth="1"/>
    <col min="1274" max="1274" width="7.140625" style="376" customWidth="1"/>
    <col min="1275" max="1275" width="10.7109375" style="376" customWidth="1"/>
    <col min="1276" max="1276" width="10.42578125" style="376" customWidth="1"/>
    <col min="1277" max="1277" width="10.5703125" style="376" customWidth="1"/>
    <col min="1278" max="1278" width="10.42578125" style="376" customWidth="1"/>
    <col min="1279" max="1281" width="10.5703125" style="376" customWidth="1"/>
    <col min="1282" max="1284" width="10.42578125" style="376" customWidth="1"/>
    <col min="1285" max="1285" width="10.5703125" style="376" customWidth="1"/>
    <col min="1286" max="1286" width="10.28515625" style="376" customWidth="1"/>
    <col min="1287" max="1287" width="10.140625" style="376" customWidth="1"/>
    <col min="1288" max="1288" width="11.7109375" style="376" customWidth="1"/>
    <col min="1289" max="1289" width="12.42578125" style="376" customWidth="1"/>
    <col min="1290" max="1290" width="11.7109375" style="376" customWidth="1"/>
    <col min="1291" max="1291" width="13.140625" style="376" customWidth="1"/>
    <col min="1292" max="1527" width="9.140625" style="376"/>
    <col min="1528" max="1528" width="3.7109375" style="376" customWidth="1"/>
    <col min="1529" max="1529" width="30.42578125" style="376" customWidth="1"/>
    <col min="1530" max="1530" width="7.140625" style="376" customWidth="1"/>
    <col min="1531" max="1531" width="10.7109375" style="376" customWidth="1"/>
    <col min="1532" max="1532" width="10.42578125" style="376" customWidth="1"/>
    <col min="1533" max="1533" width="10.5703125" style="376" customWidth="1"/>
    <col min="1534" max="1534" width="10.42578125" style="376" customWidth="1"/>
    <col min="1535" max="1537" width="10.5703125" style="376" customWidth="1"/>
    <col min="1538" max="1540" width="10.42578125" style="376" customWidth="1"/>
    <col min="1541" max="1541" width="10.5703125" style="376" customWidth="1"/>
    <col min="1542" max="1542" width="10.28515625" style="376" customWidth="1"/>
    <col min="1543" max="1543" width="10.140625" style="376" customWidth="1"/>
    <col min="1544" max="1544" width="11.7109375" style="376" customWidth="1"/>
    <col min="1545" max="1545" width="12.42578125" style="376" customWidth="1"/>
    <col min="1546" max="1546" width="11.7109375" style="376" customWidth="1"/>
    <col min="1547" max="1547" width="13.140625" style="376" customWidth="1"/>
    <col min="1548" max="1783" width="9.140625" style="376"/>
    <col min="1784" max="1784" width="3.7109375" style="376" customWidth="1"/>
    <col min="1785" max="1785" width="30.42578125" style="376" customWidth="1"/>
    <col min="1786" max="1786" width="7.140625" style="376" customWidth="1"/>
    <col min="1787" max="1787" width="10.7109375" style="376" customWidth="1"/>
    <col min="1788" max="1788" width="10.42578125" style="376" customWidth="1"/>
    <col min="1789" max="1789" width="10.5703125" style="376" customWidth="1"/>
    <col min="1790" max="1790" width="10.42578125" style="376" customWidth="1"/>
    <col min="1791" max="1793" width="10.5703125" style="376" customWidth="1"/>
    <col min="1794" max="1796" width="10.42578125" style="376" customWidth="1"/>
    <col min="1797" max="1797" width="10.5703125" style="376" customWidth="1"/>
    <col min="1798" max="1798" width="10.28515625" style="376" customWidth="1"/>
    <col min="1799" max="1799" width="10.140625" style="376" customWidth="1"/>
    <col min="1800" max="1800" width="11.7109375" style="376" customWidth="1"/>
    <col min="1801" max="1801" width="12.42578125" style="376" customWidth="1"/>
    <col min="1802" max="1802" width="11.7109375" style="376" customWidth="1"/>
    <col min="1803" max="1803" width="13.140625" style="376" customWidth="1"/>
    <col min="1804" max="2039" width="9.140625" style="376"/>
    <col min="2040" max="2040" width="3.7109375" style="376" customWidth="1"/>
    <col min="2041" max="2041" width="30.42578125" style="376" customWidth="1"/>
    <col min="2042" max="2042" width="7.140625" style="376" customWidth="1"/>
    <col min="2043" max="2043" width="10.7109375" style="376" customWidth="1"/>
    <col min="2044" max="2044" width="10.42578125" style="376" customWidth="1"/>
    <col min="2045" max="2045" width="10.5703125" style="376" customWidth="1"/>
    <col min="2046" max="2046" width="10.42578125" style="376" customWidth="1"/>
    <col min="2047" max="2049" width="10.5703125" style="376" customWidth="1"/>
    <col min="2050" max="2052" width="10.42578125" style="376" customWidth="1"/>
    <col min="2053" max="2053" width="10.5703125" style="376" customWidth="1"/>
    <col min="2054" max="2054" width="10.28515625" style="376" customWidth="1"/>
    <col min="2055" max="2055" width="10.140625" style="376" customWidth="1"/>
    <col min="2056" max="2056" width="11.7109375" style="376" customWidth="1"/>
    <col min="2057" max="2057" width="12.42578125" style="376" customWidth="1"/>
    <col min="2058" max="2058" width="11.7109375" style="376" customWidth="1"/>
    <col min="2059" max="2059" width="13.140625" style="376" customWidth="1"/>
    <col min="2060" max="2295" width="9.140625" style="376"/>
    <col min="2296" max="2296" width="3.7109375" style="376" customWidth="1"/>
    <col min="2297" max="2297" width="30.42578125" style="376" customWidth="1"/>
    <col min="2298" max="2298" width="7.140625" style="376" customWidth="1"/>
    <col min="2299" max="2299" width="10.7109375" style="376" customWidth="1"/>
    <col min="2300" max="2300" width="10.42578125" style="376" customWidth="1"/>
    <col min="2301" max="2301" width="10.5703125" style="376" customWidth="1"/>
    <col min="2302" max="2302" width="10.42578125" style="376" customWidth="1"/>
    <col min="2303" max="2305" width="10.5703125" style="376" customWidth="1"/>
    <col min="2306" max="2308" width="10.42578125" style="376" customWidth="1"/>
    <col min="2309" max="2309" width="10.5703125" style="376" customWidth="1"/>
    <col min="2310" max="2310" width="10.28515625" style="376" customWidth="1"/>
    <col min="2311" max="2311" width="10.140625" style="376" customWidth="1"/>
    <col min="2312" max="2312" width="11.7109375" style="376" customWidth="1"/>
    <col min="2313" max="2313" width="12.42578125" style="376" customWidth="1"/>
    <col min="2314" max="2314" width="11.7109375" style="376" customWidth="1"/>
    <col min="2315" max="2315" width="13.140625" style="376" customWidth="1"/>
    <col min="2316" max="2551" width="9.140625" style="376"/>
    <col min="2552" max="2552" width="3.7109375" style="376" customWidth="1"/>
    <col min="2553" max="2553" width="30.42578125" style="376" customWidth="1"/>
    <col min="2554" max="2554" width="7.140625" style="376" customWidth="1"/>
    <col min="2555" max="2555" width="10.7109375" style="376" customWidth="1"/>
    <col min="2556" max="2556" width="10.42578125" style="376" customWidth="1"/>
    <col min="2557" max="2557" width="10.5703125" style="376" customWidth="1"/>
    <col min="2558" max="2558" width="10.42578125" style="376" customWidth="1"/>
    <col min="2559" max="2561" width="10.5703125" style="376" customWidth="1"/>
    <col min="2562" max="2564" width="10.42578125" style="376" customWidth="1"/>
    <col min="2565" max="2565" width="10.5703125" style="376" customWidth="1"/>
    <col min="2566" max="2566" width="10.28515625" style="376" customWidth="1"/>
    <col min="2567" max="2567" width="10.140625" style="376" customWidth="1"/>
    <col min="2568" max="2568" width="11.7109375" style="376" customWidth="1"/>
    <col min="2569" max="2569" width="12.42578125" style="376" customWidth="1"/>
    <col min="2570" max="2570" width="11.7109375" style="376" customWidth="1"/>
    <col min="2571" max="2571" width="13.140625" style="376" customWidth="1"/>
    <col min="2572" max="2807" width="9.140625" style="376"/>
    <col min="2808" max="2808" width="3.7109375" style="376" customWidth="1"/>
    <col min="2809" max="2809" width="30.42578125" style="376" customWidth="1"/>
    <col min="2810" max="2810" width="7.140625" style="376" customWidth="1"/>
    <col min="2811" max="2811" width="10.7109375" style="376" customWidth="1"/>
    <col min="2812" max="2812" width="10.42578125" style="376" customWidth="1"/>
    <col min="2813" max="2813" width="10.5703125" style="376" customWidth="1"/>
    <col min="2814" max="2814" width="10.42578125" style="376" customWidth="1"/>
    <col min="2815" max="2817" width="10.5703125" style="376" customWidth="1"/>
    <col min="2818" max="2820" width="10.42578125" style="376" customWidth="1"/>
    <col min="2821" max="2821" width="10.5703125" style="376" customWidth="1"/>
    <col min="2822" max="2822" width="10.28515625" style="376" customWidth="1"/>
    <col min="2823" max="2823" width="10.140625" style="376" customWidth="1"/>
    <col min="2824" max="2824" width="11.7109375" style="376" customWidth="1"/>
    <col min="2825" max="2825" width="12.42578125" style="376" customWidth="1"/>
    <col min="2826" max="2826" width="11.7109375" style="376" customWidth="1"/>
    <col min="2827" max="2827" width="13.140625" style="376" customWidth="1"/>
    <col min="2828" max="3063" width="9.140625" style="376"/>
    <col min="3064" max="3064" width="3.7109375" style="376" customWidth="1"/>
    <col min="3065" max="3065" width="30.42578125" style="376" customWidth="1"/>
    <col min="3066" max="3066" width="7.140625" style="376" customWidth="1"/>
    <col min="3067" max="3067" width="10.7109375" style="376" customWidth="1"/>
    <col min="3068" max="3068" width="10.42578125" style="376" customWidth="1"/>
    <col min="3069" max="3069" width="10.5703125" style="376" customWidth="1"/>
    <col min="3070" max="3070" width="10.42578125" style="376" customWidth="1"/>
    <col min="3071" max="3073" width="10.5703125" style="376" customWidth="1"/>
    <col min="3074" max="3076" width="10.42578125" style="376" customWidth="1"/>
    <col min="3077" max="3077" width="10.5703125" style="376" customWidth="1"/>
    <col min="3078" max="3078" width="10.28515625" style="376" customWidth="1"/>
    <col min="3079" max="3079" width="10.140625" style="376" customWidth="1"/>
    <col min="3080" max="3080" width="11.7109375" style="376" customWidth="1"/>
    <col min="3081" max="3081" width="12.42578125" style="376" customWidth="1"/>
    <col min="3082" max="3082" width="11.7109375" style="376" customWidth="1"/>
    <col min="3083" max="3083" width="13.140625" style="376" customWidth="1"/>
    <col min="3084" max="3319" width="9.140625" style="376"/>
    <col min="3320" max="3320" width="3.7109375" style="376" customWidth="1"/>
    <col min="3321" max="3321" width="30.42578125" style="376" customWidth="1"/>
    <col min="3322" max="3322" width="7.140625" style="376" customWidth="1"/>
    <col min="3323" max="3323" width="10.7109375" style="376" customWidth="1"/>
    <col min="3324" max="3324" width="10.42578125" style="376" customWidth="1"/>
    <col min="3325" max="3325" width="10.5703125" style="376" customWidth="1"/>
    <col min="3326" max="3326" width="10.42578125" style="376" customWidth="1"/>
    <col min="3327" max="3329" width="10.5703125" style="376" customWidth="1"/>
    <col min="3330" max="3332" width="10.42578125" style="376" customWidth="1"/>
    <col min="3333" max="3333" width="10.5703125" style="376" customWidth="1"/>
    <col min="3334" max="3334" width="10.28515625" style="376" customWidth="1"/>
    <col min="3335" max="3335" width="10.140625" style="376" customWidth="1"/>
    <col min="3336" max="3336" width="11.7109375" style="376" customWidth="1"/>
    <col min="3337" max="3337" width="12.42578125" style="376" customWidth="1"/>
    <col min="3338" max="3338" width="11.7109375" style="376" customWidth="1"/>
    <col min="3339" max="3339" width="13.140625" style="376" customWidth="1"/>
    <col min="3340" max="3575" width="9.140625" style="376"/>
    <col min="3576" max="3576" width="3.7109375" style="376" customWidth="1"/>
    <col min="3577" max="3577" width="30.42578125" style="376" customWidth="1"/>
    <col min="3578" max="3578" width="7.140625" style="376" customWidth="1"/>
    <col min="3579" max="3579" width="10.7109375" style="376" customWidth="1"/>
    <col min="3580" max="3580" width="10.42578125" style="376" customWidth="1"/>
    <col min="3581" max="3581" width="10.5703125" style="376" customWidth="1"/>
    <col min="3582" max="3582" width="10.42578125" style="376" customWidth="1"/>
    <col min="3583" max="3585" width="10.5703125" style="376" customWidth="1"/>
    <col min="3586" max="3588" width="10.42578125" style="376" customWidth="1"/>
    <col min="3589" max="3589" width="10.5703125" style="376" customWidth="1"/>
    <col min="3590" max="3590" width="10.28515625" style="376" customWidth="1"/>
    <col min="3591" max="3591" width="10.140625" style="376" customWidth="1"/>
    <col min="3592" max="3592" width="11.7109375" style="376" customWidth="1"/>
    <col min="3593" max="3593" width="12.42578125" style="376" customWidth="1"/>
    <col min="3594" max="3594" width="11.7109375" style="376" customWidth="1"/>
    <col min="3595" max="3595" width="13.140625" style="376" customWidth="1"/>
    <col min="3596" max="3831" width="9.140625" style="376"/>
    <col min="3832" max="3832" width="3.7109375" style="376" customWidth="1"/>
    <col min="3833" max="3833" width="30.42578125" style="376" customWidth="1"/>
    <col min="3834" max="3834" width="7.140625" style="376" customWidth="1"/>
    <col min="3835" max="3835" width="10.7109375" style="376" customWidth="1"/>
    <col min="3836" max="3836" width="10.42578125" style="376" customWidth="1"/>
    <col min="3837" max="3837" width="10.5703125" style="376" customWidth="1"/>
    <col min="3838" max="3838" width="10.42578125" style="376" customWidth="1"/>
    <col min="3839" max="3841" width="10.5703125" style="376" customWidth="1"/>
    <col min="3842" max="3844" width="10.42578125" style="376" customWidth="1"/>
    <col min="3845" max="3845" width="10.5703125" style="376" customWidth="1"/>
    <col min="3846" max="3846" width="10.28515625" style="376" customWidth="1"/>
    <col min="3847" max="3847" width="10.140625" style="376" customWidth="1"/>
    <col min="3848" max="3848" width="11.7109375" style="376" customWidth="1"/>
    <col min="3849" max="3849" width="12.42578125" style="376" customWidth="1"/>
    <col min="3850" max="3850" width="11.7109375" style="376" customWidth="1"/>
    <col min="3851" max="3851" width="13.140625" style="376" customWidth="1"/>
    <col min="3852" max="4087" width="9.140625" style="376"/>
    <col min="4088" max="4088" width="3.7109375" style="376" customWidth="1"/>
    <col min="4089" max="4089" width="30.42578125" style="376" customWidth="1"/>
    <col min="4090" max="4090" width="7.140625" style="376" customWidth="1"/>
    <col min="4091" max="4091" width="10.7109375" style="376" customWidth="1"/>
    <col min="4092" max="4092" width="10.42578125" style="376" customWidth="1"/>
    <col min="4093" max="4093" width="10.5703125" style="376" customWidth="1"/>
    <col min="4094" max="4094" width="10.42578125" style="376" customWidth="1"/>
    <col min="4095" max="4097" width="10.5703125" style="376" customWidth="1"/>
    <col min="4098" max="4100" width="10.42578125" style="376" customWidth="1"/>
    <col min="4101" max="4101" width="10.5703125" style="376" customWidth="1"/>
    <col min="4102" max="4102" width="10.28515625" style="376" customWidth="1"/>
    <col min="4103" max="4103" width="10.140625" style="376" customWidth="1"/>
    <col min="4104" max="4104" width="11.7109375" style="376" customWidth="1"/>
    <col min="4105" max="4105" width="12.42578125" style="376" customWidth="1"/>
    <col min="4106" max="4106" width="11.7109375" style="376" customWidth="1"/>
    <col min="4107" max="4107" width="13.140625" style="376" customWidth="1"/>
    <col min="4108" max="4343" width="9.140625" style="376"/>
    <col min="4344" max="4344" width="3.7109375" style="376" customWidth="1"/>
    <col min="4345" max="4345" width="30.42578125" style="376" customWidth="1"/>
    <col min="4346" max="4346" width="7.140625" style="376" customWidth="1"/>
    <col min="4347" max="4347" width="10.7109375" style="376" customWidth="1"/>
    <col min="4348" max="4348" width="10.42578125" style="376" customWidth="1"/>
    <col min="4349" max="4349" width="10.5703125" style="376" customWidth="1"/>
    <col min="4350" max="4350" width="10.42578125" style="376" customWidth="1"/>
    <col min="4351" max="4353" width="10.5703125" style="376" customWidth="1"/>
    <col min="4354" max="4356" width="10.42578125" style="376" customWidth="1"/>
    <col min="4357" max="4357" width="10.5703125" style="376" customWidth="1"/>
    <col min="4358" max="4358" width="10.28515625" style="376" customWidth="1"/>
    <col min="4359" max="4359" width="10.140625" style="376" customWidth="1"/>
    <col min="4360" max="4360" width="11.7109375" style="376" customWidth="1"/>
    <col min="4361" max="4361" width="12.42578125" style="376" customWidth="1"/>
    <col min="4362" max="4362" width="11.7109375" style="376" customWidth="1"/>
    <col min="4363" max="4363" width="13.140625" style="376" customWidth="1"/>
    <col min="4364" max="4599" width="9.140625" style="376"/>
    <col min="4600" max="4600" width="3.7109375" style="376" customWidth="1"/>
    <col min="4601" max="4601" width="30.42578125" style="376" customWidth="1"/>
    <col min="4602" max="4602" width="7.140625" style="376" customWidth="1"/>
    <col min="4603" max="4603" width="10.7109375" style="376" customWidth="1"/>
    <col min="4604" max="4604" width="10.42578125" style="376" customWidth="1"/>
    <col min="4605" max="4605" width="10.5703125" style="376" customWidth="1"/>
    <col min="4606" max="4606" width="10.42578125" style="376" customWidth="1"/>
    <col min="4607" max="4609" width="10.5703125" style="376" customWidth="1"/>
    <col min="4610" max="4612" width="10.42578125" style="376" customWidth="1"/>
    <col min="4613" max="4613" width="10.5703125" style="376" customWidth="1"/>
    <col min="4614" max="4614" width="10.28515625" style="376" customWidth="1"/>
    <col min="4615" max="4615" width="10.140625" style="376" customWidth="1"/>
    <col min="4616" max="4616" width="11.7109375" style="376" customWidth="1"/>
    <col min="4617" max="4617" width="12.42578125" style="376" customWidth="1"/>
    <col min="4618" max="4618" width="11.7109375" style="376" customWidth="1"/>
    <col min="4619" max="4619" width="13.140625" style="376" customWidth="1"/>
    <col min="4620" max="4855" width="9.140625" style="376"/>
    <col min="4856" max="4856" width="3.7109375" style="376" customWidth="1"/>
    <col min="4857" max="4857" width="30.42578125" style="376" customWidth="1"/>
    <col min="4858" max="4858" width="7.140625" style="376" customWidth="1"/>
    <col min="4859" max="4859" width="10.7109375" style="376" customWidth="1"/>
    <col min="4860" max="4860" width="10.42578125" style="376" customWidth="1"/>
    <col min="4861" max="4861" width="10.5703125" style="376" customWidth="1"/>
    <col min="4862" max="4862" width="10.42578125" style="376" customWidth="1"/>
    <col min="4863" max="4865" width="10.5703125" style="376" customWidth="1"/>
    <col min="4866" max="4868" width="10.42578125" style="376" customWidth="1"/>
    <col min="4869" max="4869" width="10.5703125" style="376" customWidth="1"/>
    <col min="4870" max="4870" width="10.28515625" style="376" customWidth="1"/>
    <col min="4871" max="4871" width="10.140625" style="376" customWidth="1"/>
    <col min="4872" max="4872" width="11.7109375" style="376" customWidth="1"/>
    <col min="4873" max="4873" width="12.42578125" style="376" customWidth="1"/>
    <col min="4874" max="4874" width="11.7109375" style="376" customWidth="1"/>
    <col min="4875" max="4875" width="13.140625" style="376" customWidth="1"/>
    <col min="4876" max="5111" width="9.140625" style="376"/>
    <col min="5112" max="5112" width="3.7109375" style="376" customWidth="1"/>
    <col min="5113" max="5113" width="30.42578125" style="376" customWidth="1"/>
    <col min="5114" max="5114" width="7.140625" style="376" customWidth="1"/>
    <col min="5115" max="5115" width="10.7109375" style="376" customWidth="1"/>
    <col min="5116" max="5116" width="10.42578125" style="376" customWidth="1"/>
    <col min="5117" max="5117" width="10.5703125" style="376" customWidth="1"/>
    <col min="5118" max="5118" width="10.42578125" style="376" customWidth="1"/>
    <col min="5119" max="5121" width="10.5703125" style="376" customWidth="1"/>
    <col min="5122" max="5124" width="10.42578125" style="376" customWidth="1"/>
    <col min="5125" max="5125" width="10.5703125" style="376" customWidth="1"/>
    <col min="5126" max="5126" width="10.28515625" style="376" customWidth="1"/>
    <col min="5127" max="5127" width="10.140625" style="376" customWidth="1"/>
    <col min="5128" max="5128" width="11.7109375" style="376" customWidth="1"/>
    <col min="5129" max="5129" width="12.42578125" style="376" customWidth="1"/>
    <col min="5130" max="5130" width="11.7109375" style="376" customWidth="1"/>
    <col min="5131" max="5131" width="13.140625" style="376" customWidth="1"/>
    <col min="5132" max="5367" width="9.140625" style="376"/>
    <col min="5368" max="5368" width="3.7109375" style="376" customWidth="1"/>
    <col min="5369" max="5369" width="30.42578125" style="376" customWidth="1"/>
    <col min="5370" max="5370" width="7.140625" style="376" customWidth="1"/>
    <col min="5371" max="5371" width="10.7109375" style="376" customWidth="1"/>
    <col min="5372" max="5372" width="10.42578125" style="376" customWidth="1"/>
    <col min="5373" max="5373" width="10.5703125" style="376" customWidth="1"/>
    <col min="5374" max="5374" width="10.42578125" style="376" customWidth="1"/>
    <col min="5375" max="5377" width="10.5703125" style="376" customWidth="1"/>
    <col min="5378" max="5380" width="10.42578125" style="376" customWidth="1"/>
    <col min="5381" max="5381" width="10.5703125" style="376" customWidth="1"/>
    <col min="5382" max="5382" width="10.28515625" style="376" customWidth="1"/>
    <col min="5383" max="5383" width="10.140625" style="376" customWidth="1"/>
    <col min="5384" max="5384" width="11.7109375" style="376" customWidth="1"/>
    <col min="5385" max="5385" width="12.42578125" style="376" customWidth="1"/>
    <col min="5386" max="5386" width="11.7109375" style="376" customWidth="1"/>
    <col min="5387" max="5387" width="13.140625" style="376" customWidth="1"/>
    <col min="5388" max="5623" width="9.140625" style="376"/>
    <col min="5624" max="5624" width="3.7109375" style="376" customWidth="1"/>
    <col min="5625" max="5625" width="30.42578125" style="376" customWidth="1"/>
    <col min="5626" max="5626" width="7.140625" style="376" customWidth="1"/>
    <col min="5627" max="5627" width="10.7109375" style="376" customWidth="1"/>
    <col min="5628" max="5628" width="10.42578125" style="376" customWidth="1"/>
    <col min="5629" max="5629" width="10.5703125" style="376" customWidth="1"/>
    <col min="5630" max="5630" width="10.42578125" style="376" customWidth="1"/>
    <col min="5631" max="5633" width="10.5703125" style="376" customWidth="1"/>
    <col min="5634" max="5636" width="10.42578125" style="376" customWidth="1"/>
    <col min="5637" max="5637" width="10.5703125" style="376" customWidth="1"/>
    <col min="5638" max="5638" width="10.28515625" style="376" customWidth="1"/>
    <col min="5639" max="5639" width="10.140625" style="376" customWidth="1"/>
    <col min="5640" max="5640" width="11.7109375" style="376" customWidth="1"/>
    <col min="5641" max="5641" width="12.42578125" style="376" customWidth="1"/>
    <col min="5642" max="5642" width="11.7109375" style="376" customWidth="1"/>
    <col min="5643" max="5643" width="13.140625" style="376" customWidth="1"/>
    <col min="5644" max="5879" width="9.140625" style="376"/>
    <col min="5880" max="5880" width="3.7109375" style="376" customWidth="1"/>
    <col min="5881" max="5881" width="30.42578125" style="376" customWidth="1"/>
    <col min="5882" max="5882" width="7.140625" style="376" customWidth="1"/>
    <col min="5883" max="5883" width="10.7109375" style="376" customWidth="1"/>
    <col min="5884" max="5884" width="10.42578125" style="376" customWidth="1"/>
    <col min="5885" max="5885" width="10.5703125" style="376" customWidth="1"/>
    <col min="5886" max="5886" width="10.42578125" style="376" customWidth="1"/>
    <col min="5887" max="5889" width="10.5703125" style="376" customWidth="1"/>
    <col min="5890" max="5892" width="10.42578125" style="376" customWidth="1"/>
    <col min="5893" max="5893" width="10.5703125" style="376" customWidth="1"/>
    <col min="5894" max="5894" width="10.28515625" style="376" customWidth="1"/>
    <col min="5895" max="5895" width="10.140625" style="376" customWidth="1"/>
    <col min="5896" max="5896" width="11.7109375" style="376" customWidth="1"/>
    <col min="5897" max="5897" width="12.42578125" style="376" customWidth="1"/>
    <col min="5898" max="5898" width="11.7109375" style="376" customWidth="1"/>
    <col min="5899" max="5899" width="13.140625" style="376" customWidth="1"/>
    <col min="5900" max="6135" width="9.140625" style="376"/>
    <col min="6136" max="6136" width="3.7109375" style="376" customWidth="1"/>
    <col min="6137" max="6137" width="30.42578125" style="376" customWidth="1"/>
    <col min="6138" max="6138" width="7.140625" style="376" customWidth="1"/>
    <col min="6139" max="6139" width="10.7109375" style="376" customWidth="1"/>
    <col min="6140" max="6140" width="10.42578125" style="376" customWidth="1"/>
    <col min="6141" max="6141" width="10.5703125" style="376" customWidth="1"/>
    <col min="6142" max="6142" width="10.42578125" style="376" customWidth="1"/>
    <col min="6143" max="6145" width="10.5703125" style="376" customWidth="1"/>
    <col min="6146" max="6148" width="10.42578125" style="376" customWidth="1"/>
    <col min="6149" max="6149" width="10.5703125" style="376" customWidth="1"/>
    <col min="6150" max="6150" width="10.28515625" style="376" customWidth="1"/>
    <col min="6151" max="6151" width="10.140625" style="376" customWidth="1"/>
    <col min="6152" max="6152" width="11.7109375" style="376" customWidth="1"/>
    <col min="6153" max="6153" width="12.42578125" style="376" customWidth="1"/>
    <col min="6154" max="6154" width="11.7109375" style="376" customWidth="1"/>
    <col min="6155" max="6155" width="13.140625" style="376" customWidth="1"/>
    <col min="6156" max="6391" width="9.140625" style="376"/>
    <col min="6392" max="6392" width="3.7109375" style="376" customWidth="1"/>
    <col min="6393" max="6393" width="30.42578125" style="376" customWidth="1"/>
    <col min="6394" max="6394" width="7.140625" style="376" customWidth="1"/>
    <col min="6395" max="6395" width="10.7109375" style="376" customWidth="1"/>
    <col min="6396" max="6396" width="10.42578125" style="376" customWidth="1"/>
    <col min="6397" max="6397" width="10.5703125" style="376" customWidth="1"/>
    <col min="6398" max="6398" width="10.42578125" style="376" customWidth="1"/>
    <col min="6399" max="6401" width="10.5703125" style="376" customWidth="1"/>
    <col min="6402" max="6404" width="10.42578125" style="376" customWidth="1"/>
    <col min="6405" max="6405" width="10.5703125" style="376" customWidth="1"/>
    <col min="6406" max="6406" width="10.28515625" style="376" customWidth="1"/>
    <col min="6407" max="6407" width="10.140625" style="376" customWidth="1"/>
    <col min="6408" max="6408" width="11.7109375" style="376" customWidth="1"/>
    <col min="6409" max="6409" width="12.42578125" style="376" customWidth="1"/>
    <col min="6410" max="6410" width="11.7109375" style="376" customWidth="1"/>
    <col min="6411" max="6411" width="13.140625" style="376" customWidth="1"/>
    <col min="6412" max="6647" width="9.140625" style="376"/>
    <col min="6648" max="6648" width="3.7109375" style="376" customWidth="1"/>
    <col min="6649" max="6649" width="30.42578125" style="376" customWidth="1"/>
    <col min="6650" max="6650" width="7.140625" style="376" customWidth="1"/>
    <col min="6651" max="6651" width="10.7109375" style="376" customWidth="1"/>
    <col min="6652" max="6652" width="10.42578125" style="376" customWidth="1"/>
    <col min="6653" max="6653" width="10.5703125" style="376" customWidth="1"/>
    <col min="6654" max="6654" width="10.42578125" style="376" customWidth="1"/>
    <col min="6655" max="6657" width="10.5703125" style="376" customWidth="1"/>
    <col min="6658" max="6660" width="10.42578125" style="376" customWidth="1"/>
    <col min="6661" max="6661" width="10.5703125" style="376" customWidth="1"/>
    <col min="6662" max="6662" width="10.28515625" style="376" customWidth="1"/>
    <col min="6663" max="6663" width="10.140625" style="376" customWidth="1"/>
    <col min="6664" max="6664" width="11.7109375" style="376" customWidth="1"/>
    <col min="6665" max="6665" width="12.42578125" style="376" customWidth="1"/>
    <col min="6666" max="6666" width="11.7109375" style="376" customWidth="1"/>
    <col min="6667" max="6667" width="13.140625" style="376" customWidth="1"/>
    <col min="6668" max="6903" width="9.140625" style="376"/>
    <col min="6904" max="6904" width="3.7109375" style="376" customWidth="1"/>
    <col min="6905" max="6905" width="30.42578125" style="376" customWidth="1"/>
    <col min="6906" max="6906" width="7.140625" style="376" customWidth="1"/>
    <col min="6907" max="6907" width="10.7109375" style="376" customWidth="1"/>
    <col min="6908" max="6908" width="10.42578125" style="376" customWidth="1"/>
    <col min="6909" max="6909" width="10.5703125" style="376" customWidth="1"/>
    <col min="6910" max="6910" width="10.42578125" style="376" customWidth="1"/>
    <col min="6911" max="6913" width="10.5703125" style="376" customWidth="1"/>
    <col min="6914" max="6916" width="10.42578125" style="376" customWidth="1"/>
    <col min="6917" max="6917" width="10.5703125" style="376" customWidth="1"/>
    <col min="6918" max="6918" width="10.28515625" style="376" customWidth="1"/>
    <col min="6919" max="6919" width="10.140625" style="376" customWidth="1"/>
    <col min="6920" max="6920" width="11.7109375" style="376" customWidth="1"/>
    <col min="6921" max="6921" width="12.42578125" style="376" customWidth="1"/>
    <col min="6922" max="6922" width="11.7109375" style="376" customWidth="1"/>
    <col min="6923" max="6923" width="13.140625" style="376" customWidth="1"/>
    <col min="6924" max="7159" width="9.140625" style="376"/>
    <col min="7160" max="7160" width="3.7109375" style="376" customWidth="1"/>
    <col min="7161" max="7161" width="30.42578125" style="376" customWidth="1"/>
    <col min="7162" max="7162" width="7.140625" style="376" customWidth="1"/>
    <col min="7163" max="7163" width="10.7109375" style="376" customWidth="1"/>
    <col min="7164" max="7164" width="10.42578125" style="376" customWidth="1"/>
    <col min="7165" max="7165" width="10.5703125" style="376" customWidth="1"/>
    <col min="7166" max="7166" width="10.42578125" style="376" customWidth="1"/>
    <col min="7167" max="7169" width="10.5703125" style="376" customWidth="1"/>
    <col min="7170" max="7172" width="10.42578125" style="376" customWidth="1"/>
    <col min="7173" max="7173" width="10.5703125" style="376" customWidth="1"/>
    <col min="7174" max="7174" width="10.28515625" style="376" customWidth="1"/>
    <col min="7175" max="7175" width="10.140625" style="376" customWidth="1"/>
    <col min="7176" max="7176" width="11.7109375" style="376" customWidth="1"/>
    <col min="7177" max="7177" width="12.42578125" style="376" customWidth="1"/>
    <col min="7178" max="7178" width="11.7109375" style="376" customWidth="1"/>
    <col min="7179" max="7179" width="13.140625" style="376" customWidth="1"/>
    <col min="7180" max="7415" width="9.140625" style="376"/>
    <col min="7416" max="7416" width="3.7109375" style="376" customWidth="1"/>
    <col min="7417" max="7417" width="30.42578125" style="376" customWidth="1"/>
    <col min="7418" max="7418" width="7.140625" style="376" customWidth="1"/>
    <col min="7419" max="7419" width="10.7109375" style="376" customWidth="1"/>
    <col min="7420" max="7420" width="10.42578125" style="376" customWidth="1"/>
    <col min="7421" max="7421" width="10.5703125" style="376" customWidth="1"/>
    <col min="7422" max="7422" width="10.42578125" style="376" customWidth="1"/>
    <col min="7423" max="7425" width="10.5703125" style="376" customWidth="1"/>
    <col min="7426" max="7428" width="10.42578125" style="376" customWidth="1"/>
    <col min="7429" max="7429" width="10.5703125" style="376" customWidth="1"/>
    <col min="7430" max="7430" width="10.28515625" style="376" customWidth="1"/>
    <col min="7431" max="7431" width="10.140625" style="376" customWidth="1"/>
    <col min="7432" max="7432" width="11.7109375" style="376" customWidth="1"/>
    <col min="7433" max="7433" width="12.42578125" style="376" customWidth="1"/>
    <col min="7434" max="7434" width="11.7109375" style="376" customWidth="1"/>
    <col min="7435" max="7435" width="13.140625" style="376" customWidth="1"/>
    <col min="7436" max="7671" width="9.140625" style="376"/>
    <col min="7672" max="7672" width="3.7109375" style="376" customWidth="1"/>
    <col min="7673" max="7673" width="30.42578125" style="376" customWidth="1"/>
    <col min="7674" max="7674" width="7.140625" style="376" customWidth="1"/>
    <col min="7675" max="7675" width="10.7109375" style="376" customWidth="1"/>
    <col min="7676" max="7676" width="10.42578125" style="376" customWidth="1"/>
    <col min="7677" max="7677" width="10.5703125" style="376" customWidth="1"/>
    <col min="7678" max="7678" width="10.42578125" style="376" customWidth="1"/>
    <col min="7679" max="7681" width="10.5703125" style="376" customWidth="1"/>
    <col min="7682" max="7684" width="10.42578125" style="376" customWidth="1"/>
    <col min="7685" max="7685" width="10.5703125" style="376" customWidth="1"/>
    <col min="7686" max="7686" width="10.28515625" style="376" customWidth="1"/>
    <col min="7687" max="7687" width="10.140625" style="376" customWidth="1"/>
    <col min="7688" max="7688" width="11.7109375" style="376" customWidth="1"/>
    <col min="7689" max="7689" width="12.42578125" style="376" customWidth="1"/>
    <col min="7690" max="7690" width="11.7109375" style="376" customWidth="1"/>
    <col min="7691" max="7691" width="13.140625" style="376" customWidth="1"/>
    <col min="7692" max="7927" width="9.140625" style="376"/>
    <col min="7928" max="7928" width="3.7109375" style="376" customWidth="1"/>
    <col min="7929" max="7929" width="30.42578125" style="376" customWidth="1"/>
    <col min="7930" max="7930" width="7.140625" style="376" customWidth="1"/>
    <col min="7931" max="7931" width="10.7109375" style="376" customWidth="1"/>
    <col min="7932" max="7932" width="10.42578125" style="376" customWidth="1"/>
    <col min="7933" max="7933" width="10.5703125" style="376" customWidth="1"/>
    <col min="7934" max="7934" width="10.42578125" style="376" customWidth="1"/>
    <col min="7935" max="7937" width="10.5703125" style="376" customWidth="1"/>
    <col min="7938" max="7940" width="10.42578125" style="376" customWidth="1"/>
    <col min="7941" max="7941" width="10.5703125" style="376" customWidth="1"/>
    <col min="7942" max="7942" width="10.28515625" style="376" customWidth="1"/>
    <col min="7943" max="7943" width="10.140625" style="376" customWidth="1"/>
    <col min="7944" max="7944" width="11.7109375" style="376" customWidth="1"/>
    <col min="7945" max="7945" width="12.42578125" style="376" customWidth="1"/>
    <col min="7946" max="7946" width="11.7109375" style="376" customWidth="1"/>
    <col min="7947" max="7947" width="13.140625" style="376" customWidth="1"/>
    <col min="7948" max="8183" width="9.140625" style="376"/>
    <col min="8184" max="8184" width="3.7109375" style="376" customWidth="1"/>
    <col min="8185" max="8185" width="30.42578125" style="376" customWidth="1"/>
    <col min="8186" max="8186" width="7.140625" style="376" customWidth="1"/>
    <col min="8187" max="8187" width="10.7109375" style="376" customWidth="1"/>
    <col min="8188" max="8188" width="10.42578125" style="376" customWidth="1"/>
    <col min="8189" max="8189" width="10.5703125" style="376" customWidth="1"/>
    <col min="8190" max="8190" width="10.42578125" style="376" customWidth="1"/>
    <col min="8191" max="8193" width="10.5703125" style="376" customWidth="1"/>
    <col min="8194" max="8196" width="10.42578125" style="376" customWidth="1"/>
    <col min="8197" max="8197" width="10.5703125" style="376" customWidth="1"/>
    <col min="8198" max="8198" width="10.28515625" style="376" customWidth="1"/>
    <col min="8199" max="8199" width="10.140625" style="376" customWidth="1"/>
    <col min="8200" max="8200" width="11.7109375" style="376" customWidth="1"/>
    <col min="8201" max="8201" width="12.42578125" style="376" customWidth="1"/>
    <col min="8202" max="8202" width="11.7109375" style="376" customWidth="1"/>
    <col min="8203" max="8203" width="13.140625" style="376" customWidth="1"/>
    <col min="8204" max="8439" width="9.140625" style="376"/>
    <col min="8440" max="8440" width="3.7109375" style="376" customWidth="1"/>
    <col min="8441" max="8441" width="30.42578125" style="376" customWidth="1"/>
    <col min="8442" max="8442" width="7.140625" style="376" customWidth="1"/>
    <col min="8443" max="8443" width="10.7109375" style="376" customWidth="1"/>
    <col min="8444" max="8444" width="10.42578125" style="376" customWidth="1"/>
    <col min="8445" max="8445" width="10.5703125" style="376" customWidth="1"/>
    <col min="8446" max="8446" width="10.42578125" style="376" customWidth="1"/>
    <col min="8447" max="8449" width="10.5703125" style="376" customWidth="1"/>
    <col min="8450" max="8452" width="10.42578125" style="376" customWidth="1"/>
    <col min="8453" max="8453" width="10.5703125" style="376" customWidth="1"/>
    <col min="8454" max="8454" width="10.28515625" style="376" customWidth="1"/>
    <col min="8455" max="8455" width="10.140625" style="376" customWidth="1"/>
    <col min="8456" max="8456" width="11.7109375" style="376" customWidth="1"/>
    <col min="8457" max="8457" width="12.42578125" style="376" customWidth="1"/>
    <col min="8458" max="8458" width="11.7109375" style="376" customWidth="1"/>
    <col min="8459" max="8459" width="13.140625" style="376" customWidth="1"/>
    <col min="8460" max="8695" width="9.140625" style="376"/>
    <col min="8696" max="8696" width="3.7109375" style="376" customWidth="1"/>
    <col min="8697" max="8697" width="30.42578125" style="376" customWidth="1"/>
    <col min="8698" max="8698" width="7.140625" style="376" customWidth="1"/>
    <col min="8699" max="8699" width="10.7109375" style="376" customWidth="1"/>
    <col min="8700" max="8700" width="10.42578125" style="376" customWidth="1"/>
    <col min="8701" max="8701" width="10.5703125" style="376" customWidth="1"/>
    <col min="8702" max="8702" width="10.42578125" style="376" customWidth="1"/>
    <col min="8703" max="8705" width="10.5703125" style="376" customWidth="1"/>
    <col min="8706" max="8708" width="10.42578125" style="376" customWidth="1"/>
    <col min="8709" max="8709" width="10.5703125" style="376" customWidth="1"/>
    <col min="8710" max="8710" width="10.28515625" style="376" customWidth="1"/>
    <col min="8711" max="8711" width="10.140625" style="376" customWidth="1"/>
    <col min="8712" max="8712" width="11.7109375" style="376" customWidth="1"/>
    <col min="8713" max="8713" width="12.42578125" style="376" customWidth="1"/>
    <col min="8714" max="8714" width="11.7109375" style="376" customWidth="1"/>
    <col min="8715" max="8715" width="13.140625" style="376" customWidth="1"/>
    <col min="8716" max="8951" width="9.140625" style="376"/>
    <col min="8952" max="8952" width="3.7109375" style="376" customWidth="1"/>
    <col min="8953" max="8953" width="30.42578125" style="376" customWidth="1"/>
    <col min="8954" max="8954" width="7.140625" style="376" customWidth="1"/>
    <col min="8955" max="8955" width="10.7109375" style="376" customWidth="1"/>
    <col min="8956" max="8956" width="10.42578125" style="376" customWidth="1"/>
    <col min="8957" max="8957" width="10.5703125" style="376" customWidth="1"/>
    <col min="8958" max="8958" width="10.42578125" style="376" customWidth="1"/>
    <col min="8959" max="8961" width="10.5703125" style="376" customWidth="1"/>
    <col min="8962" max="8964" width="10.42578125" style="376" customWidth="1"/>
    <col min="8965" max="8965" width="10.5703125" style="376" customWidth="1"/>
    <col min="8966" max="8966" width="10.28515625" style="376" customWidth="1"/>
    <col min="8967" max="8967" width="10.140625" style="376" customWidth="1"/>
    <col min="8968" max="8968" width="11.7109375" style="376" customWidth="1"/>
    <col min="8969" max="8969" width="12.42578125" style="376" customWidth="1"/>
    <col min="8970" max="8970" width="11.7109375" style="376" customWidth="1"/>
    <col min="8971" max="8971" width="13.140625" style="376" customWidth="1"/>
    <col min="8972" max="9207" width="9.140625" style="376"/>
    <col min="9208" max="9208" width="3.7109375" style="376" customWidth="1"/>
    <col min="9209" max="9209" width="30.42578125" style="376" customWidth="1"/>
    <col min="9210" max="9210" width="7.140625" style="376" customWidth="1"/>
    <col min="9211" max="9211" width="10.7109375" style="376" customWidth="1"/>
    <col min="9212" max="9212" width="10.42578125" style="376" customWidth="1"/>
    <col min="9213" max="9213" width="10.5703125" style="376" customWidth="1"/>
    <col min="9214" max="9214" width="10.42578125" style="376" customWidth="1"/>
    <col min="9215" max="9217" width="10.5703125" style="376" customWidth="1"/>
    <col min="9218" max="9220" width="10.42578125" style="376" customWidth="1"/>
    <col min="9221" max="9221" width="10.5703125" style="376" customWidth="1"/>
    <col min="9222" max="9222" width="10.28515625" style="376" customWidth="1"/>
    <col min="9223" max="9223" width="10.140625" style="376" customWidth="1"/>
    <col min="9224" max="9224" width="11.7109375" style="376" customWidth="1"/>
    <col min="9225" max="9225" width="12.42578125" style="376" customWidth="1"/>
    <col min="9226" max="9226" width="11.7109375" style="376" customWidth="1"/>
    <col min="9227" max="9227" width="13.140625" style="376" customWidth="1"/>
    <col min="9228" max="9463" width="9.140625" style="376"/>
    <col min="9464" max="9464" width="3.7109375" style="376" customWidth="1"/>
    <col min="9465" max="9465" width="30.42578125" style="376" customWidth="1"/>
    <col min="9466" max="9466" width="7.140625" style="376" customWidth="1"/>
    <col min="9467" max="9467" width="10.7109375" style="376" customWidth="1"/>
    <col min="9468" max="9468" width="10.42578125" style="376" customWidth="1"/>
    <col min="9469" max="9469" width="10.5703125" style="376" customWidth="1"/>
    <col min="9470" max="9470" width="10.42578125" style="376" customWidth="1"/>
    <col min="9471" max="9473" width="10.5703125" style="376" customWidth="1"/>
    <col min="9474" max="9476" width="10.42578125" style="376" customWidth="1"/>
    <col min="9477" max="9477" width="10.5703125" style="376" customWidth="1"/>
    <col min="9478" max="9478" width="10.28515625" style="376" customWidth="1"/>
    <col min="9479" max="9479" width="10.140625" style="376" customWidth="1"/>
    <col min="9480" max="9480" width="11.7109375" style="376" customWidth="1"/>
    <col min="9481" max="9481" width="12.42578125" style="376" customWidth="1"/>
    <col min="9482" max="9482" width="11.7109375" style="376" customWidth="1"/>
    <col min="9483" max="9483" width="13.140625" style="376" customWidth="1"/>
    <col min="9484" max="9719" width="9.140625" style="376"/>
    <col min="9720" max="9720" width="3.7109375" style="376" customWidth="1"/>
    <col min="9721" max="9721" width="30.42578125" style="376" customWidth="1"/>
    <col min="9722" max="9722" width="7.140625" style="376" customWidth="1"/>
    <col min="9723" max="9723" width="10.7109375" style="376" customWidth="1"/>
    <col min="9724" max="9724" width="10.42578125" style="376" customWidth="1"/>
    <col min="9725" max="9725" width="10.5703125" style="376" customWidth="1"/>
    <col min="9726" max="9726" width="10.42578125" style="376" customWidth="1"/>
    <col min="9727" max="9729" width="10.5703125" style="376" customWidth="1"/>
    <col min="9730" max="9732" width="10.42578125" style="376" customWidth="1"/>
    <col min="9733" max="9733" width="10.5703125" style="376" customWidth="1"/>
    <col min="9734" max="9734" width="10.28515625" style="376" customWidth="1"/>
    <col min="9735" max="9735" width="10.140625" style="376" customWidth="1"/>
    <col min="9736" max="9736" width="11.7109375" style="376" customWidth="1"/>
    <col min="9737" max="9737" width="12.42578125" style="376" customWidth="1"/>
    <col min="9738" max="9738" width="11.7109375" style="376" customWidth="1"/>
    <col min="9739" max="9739" width="13.140625" style="376" customWidth="1"/>
    <col min="9740" max="9975" width="9.140625" style="376"/>
    <col min="9976" max="9976" width="3.7109375" style="376" customWidth="1"/>
    <col min="9977" max="9977" width="30.42578125" style="376" customWidth="1"/>
    <col min="9978" max="9978" width="7.140625" style="376" customWidth="1"/>
    <col min="9979" max="9979" width="10.7109375" style="376" customWidth="1"/>
    <col min="9980" max="9980" width="10.42578125" style="376" customWidth="1"/>
    <col min="9981" max="9981" width="10.5703125" style="376" customWidth="1"/>
    <col min="9982" max="9982" width="10.42578125" style="376" customWidth="1"/>
    <col min="9983" max="9985" width="10.5703125" style="376" customWidth="1"/>
    <col min="9986" max="9988" width="10.42578125" style="376" customWidth="1"/>
    <col min="9989" max="9989" width="10.5703125" style="376" customWidth="1"/>
    <col min="9990" max="9990" width="10.28515625" style="376" customWidth="1"/>
    <col min="9991" max="9991" width="10.140625" style="376" customWidth="1"/>
    <col min="9992" max="9992" width="11.7109375" style="376" customWidth="1"/>
    <col min="9993" max="9993" width="12.42578125" style="376" customWidth="1"/>
    <col min="9994" max="9994" width="11.7109375" style="376" customWidth="1"/>
    <col min="9995" max="9995" width="13.140625" style="376" customWidth="1"/>
    <col min="9996" max="10231" width="9.140625" style="376"/>
    <col min="10232" max="10232" width="3.7109375" style="376" customWidth="1"/>
    <col min="10233" max="10233" width="30.42578125" style="376" customWidth="1"/>
    <col min="10234" max="10234" width="7.140625" style="376" customWidth="1"/>
    <col min="10235" max="10235" width="10.7109375" style="376" customWidth="1"/>
    <col min="10236" max="10236" width="10.42578125" style="376" customWidth="1"/>
    <col min="10237" max="10237" width="10.5703125" style="376" customWidth="1"/>
    <col min="10238" max="10238" width="10.42578125" style="376" customWidth="1"/>
    <col min="10239" max="10241" width="10.5703125" style="376" customWidth="1"/>
    <col min="10242" max="10244" width="10.42578125" style="376" customWidth="1"/>
    <col min="10245" max="10245" width="10.5703125" style="376" customWidth="1"/>
    <col min="10246" max="10246" width="10.28515625" style="376" customWidth="1"/>
    <col min="10247" max="10247" width="10.140625" style="376" customWidth="1"/>
    <col min="10248" max="10248" width="11.7109375" style="376" customWidth="1"/>
    <col min="10249" max="10249" width="12.42578125" style="376" customWidth="1"/>
    <col min="10250" max="10250" width="11.7109375" style="376" customWidth="1"/>
    <col min="10251" max="10251" width="13.140625" style="376" customWidth="1"/>
    <col min="10252" max="10487" width="9.140625" style="376"/>
    <col min="10488" max="10488" width="3.7109375" style="376" customWidth="1"/>
    <col min="10489" max="10489" width="30.42578125" style="376" customWidth="1"/>
    <col min="10490" max="10490" width="7.140625" style="376" customWidth="1"/>
    <col min="10491" max="10491" width="10.7109375" style="376" customWidth="1"/>
    <col min="10492" max="10492" width="10.42578125" style="376" customWidth="1"/>
    <col min="10493" max="10493" width="10.5703125" style="376" customWidth="1"/>
    <col min="10494" max="10494" width="10.42578125" style="376" customWidth="1"/>
    <col min="10495" max="10497" width="10.5703125" style="376" customWidth="1"/>
    <col min="10498" max="10500" width="10.42578125" style="376" customWidth="1"/>
    <col min="10501" max="10501" width="10.5703125" style="376" customWidth="1"/>
    <col min="10502" max="10502" width="10.28515625" style="376" customWidth="1"/>
    <col min="10503" max="10503" width="10.140625" style="376" customWidth="1"/>
    <col min="10504" max="10504" width="11.7109375" style="376" customWidth="1"/>
    <col min="10505" max="10505" width="12.42578125" style="376" customWidth="1"/>
    <col min="10506" max="10506" width="11.7109375" style="376" customWidth="1"/>
    <col min="10507" max="10507" width="13.140625" style="376" customWidth="1"/>
    <col min="10508" max="10743" width="9.140625" style="376"/>
    <col min="10744" max="10744" width="3.7109375" style="376" customWidth="1"/>
    <col min="10745" max="10745" width="30.42578125" style="376" customWidth="1"/>
    <col min="10746" max="10746" width="7.140625" style="376" customWidth="1"/>
    <col min="10747" max="10747" width="10.7109375" style="376" customWidth="1"/>
    <col min="10748" max="10748" width="10.42578125" style="376" customWidth="1"/>
    <col min="10749" max="10749" width="10.5703125" style="376" customWidth="1"/>
    <col min="10750" max="10750" width="10.42578125" style="376" customWidth="1"/>
    <col min="10751" max="10753" width="10.5703125" style="376" customWidth="1"/>
    <col min="10754" max="10756" width="10.42578125" style="376" customWidth="1"/>
    <col min="10757" max="10757" width="10.5703125" style="376" customWidth="1"/>
    <col min="10758" max="10758" width="10.28515625" style="376" customWidth="1"/>
    <col min="10759" max="10759" width="10.140625" style="376" customWidth="1"/>
    <col min="10760" max="10760" width="11.7109375" style="376" customWidth="1"/>
    <col min="10761" max="10761" width="12.42578125" style="376" customWidth="1"/>
    <col min="10762" max="10762" width="11.7109375" style="376" customWidth="1"/>
    <col min="10763" max="10763" width="13.140625" style="376" customWidth="1"/>
    <col min="10764" max="10999" width="9.140625" style="376"/>
    <col min="11000" max="11000" width="3.7109375" style="376" customWidth="1"/>
    <col min="11001" max="11001" width="30.42578125" style="376" customWidth="1"/>
    <col min="11002" max="11002" width="7.140625" style="376" customWidth="1"/>
    <col min="11003" max="11003" width="10.7109375" style="376" customWidth="1"/>
    <col min="11004" max="11004" width="10.42578125" style="376" customWidth="1"/>
    <col min="11005" max="11005" width="10.5703125" style="376" customWidth="1"/>
    <col min="11006" max="11006" width="10.42578125" style="376" customWidth="1"/>
    <col min="11007" max="11009" width="10.5703125" style="376" customWidth="1"/>
    <col min="11010" max="11012" width="10.42578125" style="376" customWidth="1"/>
    <col min="11013" max="11013" width="10.5703125" style="376" customWidth="1"/>
    <col min="11014" max="11014" width="10.28515625" style="376" customWidth="1"/>
    <col min="11015" max="11015" width="10.140625" style="376" customWidth="1"/>
    <col min="11016" max="11016" width="11.7109375" style="376" customWidth="1"/>
    <col min="11017" max="11017" width="12.42578125" style="376" customWidth="1"/>
    <col min="11018" max="11018" width="11.7109375" style="376" customWidth="1"/>
    <col min="11019" max="11019" width="13.140625" style="376" customWidth="1"/>
    <col min="11020" max="11255" width="9.140625" style="376"/>
    <col min="11256" max="11256" width="3.7109375" style="376" customWidth="1"/>
    <col min="11257" max="11257" width="30.42578125" style="376" customWidth="1"/>
    <col min="11258" max="11258" width="7.140625" style="376" customWidth="1"/>
    <col min="11259" max="11259" width="10.7109375" style="376" customWidth="1"/>
    <col min="11260" max="11260" width="10.42578125" style="376" customWidth="1"/>
    <col min="11261" max="11261" width="10.5703125" style="376" customWidth="1"/>
    <col min="11262" max="11262" width="10.42578125" style="376" customWidth="1"/>
    <col min="11263" max="11265" width="10.5703125" style="376" customWidth="1"/>
    <col min="11266" max="11268" width="10.42578125" style="376" customWidth="1"/>
    <col min="11269" max="11269" width="10.5703125" style="376" customWidth="1"/>
    <col min="11270" max="11270" width="10.28515625" style="376" customWidth="1"/>
    <col min="11271" max="11271" width="10.140625" style="376" customWidth="1"/>
    <col min="11272" max="11272" width="11.7109375" style="376" customWidth="1"/>
    <col min="11273" max="11273" width="12.42578125" style="376" customWidth="1"/>
    <col min="11274" max="11274" width="11.7109375" style="376" customWidth="1"/>
    <col min="11275" max="11275" width="13.140625" style="376" customWidth="1"/>
    <col min="11276" max="11511" width="9.140625" style="376"/>
    <col min="11512" max="11512" width="3.7109375" style="376" customWidth="1"/>
    <col min="11513" max="11513" width="30.42578125" style="376" customWidth="1"/>
    <col min="11514" max="11514" width="7.140625" style="376" customWidth="1"/>
    <col min="11515" max="11515" width="10.7109375" style="376" customWidth="1"/>
    <col min="11516" max="11516" width="10.42578125" style="376" customWidth="1"/>
    <col min="11517" max="11517" width="10.5703125" style="376" customWidth="1"/>
    <col min="11518" max="11518" width="10.42578125" style="376" customWidth="1"/>
    <col min="11519" max="11521" width="10.5703125" style="376" customWidth="1"/>
    <col min="11522" max="11524" width="10.42578125" style="376" customWidth="1"/>
    <col min="11525" max="11525" width="10.5703125" style="376" customWidth="1"/>
    <col min="11526" max="11526" width="10.28515625" style="376" customWidth="1"/>
    <col min="11527" max="11527" width="10.140625" style="376" customWidth="1"/>
    <col min="11528" max="11528" width="11.7109375" style="376" customWidth="1"/>
    <col min="11529" max="11529" width="12.42578125" style="376" customWidth="1"/>
    <col min="11530" max="11530" width="11.7109375" style="376" customWidth="1"/>
    <col min="11531" max="11531" width="13.140625" style="376" customWidth="1"/>
    <col min="11532" max="11767" width="9.140625" style="376"/>
    <col min="11768" max="11768" width="3.7109375" style="376" customWidth="1"/>
    <col min="11769" max="11769" width="30.42578125" style="376" customWidth="1"/>
    <col min="11770" max="11770" width="7.140625" style="376" customWidth="1"/>
    <col min="11771" max="11771" width="10.7109375" style="376" customWidth="1"/>
    <col min="11772" max="11772" width="10.42578125" style="376" customWidth="1"/>
    <col min="11773" max="11773" width="10.5703125" style="376" customWidth="1"/>
    <col min="11774" max="11774" width="10.42578125" style="376" customWidth="1"/>
    <col min="11775" max="11777" width="10.5703125" style="376" customWidth="1"/>
    <col min="11778" max="11780" width="10.42578125" style="376" customWidth="1"/>
    <col min="11781" max="11781" width="10.5703125" style="376" customWidth="1"/>
    <col min="11782" max="11782" width="10.28515625" style="376" customWidth="1"/>
    <col min="11783" max="11783" width="10.140625" style="376" customWidth="1"/>
    <col min="11784" max="11784" width="11.7109375" style="376" customWidth="1"/>
    <col min="11785" max="11785" width="12.42578125" style="376" customWidth="1"/>
    <col min="11786" max="11786" width="11.7109375" style="376" customWidth="1"/>
    <col min="11787" max="11787" width="13.140625" style="376" customWidth="1"/>
    <col min="11788" max="12023" width="9.140625" style="376"/>
    <col min="12024" max="12024" width="3.7109375" style="376" customWidth="1"/>
    <col min="12025" max="12025" width="30.42578125" style="376" customWidth="1"/>
    <col min="12026" max="12026" width="7.140625" style="376" customWidth="1"/>
    <col min="12027" max="12027" width="10.7109375" style="376" customWidth="1"/>
    <col min="12028" max="12028" width="10.42578125" style="376" customWidth="1"/>
    <col min="12029" max="12029" width="10.5703125" style="376" customWidth="1"/>
    <col min="12030" max="12030" width="10.42578125" style="376" customWidth="1"/>
    <col min="12031" max="12033" width="10.5703125" style="376" customWidth="1"/>
    <col min="12034" max="12036" width="10.42578125" style="376" customWidth="1"/>
    <col min="12037" max="12037" width="10.5703125" style="376" customWidth="1"/>
    <col min="12038" max="12038" width="10.28515625" style="376" customWidth="1"/>
    <col min="12039" max="12039" width="10.140625" style="376" customWidth="1"/>
    <col min="12040" max="12040" width="11.7109375" style="376" customWidth="1"/>
    <col min="12041" max="12041" width="12.42578125" style="376" customWidth="1"/>
    <col min="12042" max="12042" width="11.7109375" style="376" customWidth="1"/>
    <col min="12043" max="12043" width="13.140625" style="376" customWidth="1"/>
    <col min="12044" max="12279" width="9.140625" style="376"/>
    <col min="12280" max="12280" width="3.7109375" style="376" customWidth="1"/>
    <col min="12281" max="12281" width="30.42578125" style="376" customWidth="1"/>
    <col min="12282" max="12282" width="7.140625" style="376" customWidth="1"/>
    <col min="12283" max="12283" width="10.7109375" style="376" customWidth="1"/>
    <col min="12284" max="12284" width="10.42578125" style="376" customWidth="1"/>
    <col min="12285" max="12285" width="10.5703125" style="376" customWidth="1"/>
    <col min="12286" max="12286" width="10.42578125" style="376" customWidth="1"/>
    <col min="12287" max="12289" width="10.5703125" style="376" customWidth="1"/>
    <col min="12290" max="12292" width="10.42578125" style="376" customWidth="1"/>
    <col min="12293" max="12293" width="10.5703125" style="376" customWidth="1"/>
    <col min="12294" max="12294" width="10.28515625" style="376" customWidth="1"/>
    <col min="12295" max="12295" width="10.140625" style="376" customWidth="1"/>
    <col min="12296" max="12296" width="11.7109375" style="376" customWidth="1"/>
    <col min="12297" max="12297" width="12.42578125" style="376" customWidth="1"/>
    <col min="12298" max="12298" width="11.7109375" style="376" customWidth="1"/>
    <col min="12299" max="12299" width="13.140625" style="376" customWidth="1"/>
    <col min="12300" max="12535" width="9.140625" style="376"/>
    <col min="12536" max="12536" width="3.7109375" style="376" customWidth="1"/>
    <col min="12537" max="12537" width="30.42578125" style="376" customWidth="1"/>
    <col min="12538" max="12538" width="7.140625" style="376" customWidth="1"/>
    <col min="12539" max="12539" width="10.7109375" style="376" customWidth="1"/>
    <col min="12540" max="12540" width="10.42578125" style="376" customWidth="1"/>
    <col min="12541" max="12541" width="10.5703125" style="376" customWidth="1"/>
    <col min="12542" max="12542" width="10.42578125" style="376" customWidth="1"/>
    <col min="12543" max="12545" width="10.5703125" style="376" customWidth="1"/>
    <col min="12546" max="12548" width="10.42578125" style="376" customWidth="1"/>
    <col min="12549" max="12549" width="10.5703125" style="376" customWidth="1"/>
    <col min="12550" max="12550" width="10.28515625" style="376" customWidth="1"/>
    <col min="12551" max="12551" width="10.140625" style="376" customWidth="1"/>
    <col min="12552" max="12552" width="11.7109375" style="376" customWidth="1"/>
    <col min="12553" max="12553" width="12.42578125" style="376" customWidth="1"/>
    <col min="12554" max="12554" width="11.7109375" style="376" customWidth="1"/>
    <col min="12555" max="12555" width="13.140625" style="376" customWidth="1"/>
    <col min="12556" max="12791" width="9.140625" style="376"/>
    <col min="12792" max="12792" width="3.7109375" style="376" customWidth="1"/>
    <col min="12793" max="12793" width="30.42578125" style="376" customWidth="1"/>
    <col min="12794" max="12794" width="7.140625" style="376" customWidth="1"/>
    <col min="12795" max="12795" width="10.7109375" style="376" customWidth="1"/>
    <col min="12796" max="12796" width="10.42578125" style="376" customWidth="1"/>
    <col min="12797" max="12797" width="10.5703125" style="376" customWidth="1"/>
    <col min="12798" max="12798" width="10.42578125" style="376" customWidth="1"/>
    <col min="12799" max="12801" width="10.5703125" style="376" customWidth="1"/>
    <col min="12802" max="12804" width="10.42578125" style="376" customWidth="1"/>
    <col min="12805" max="12805" width="10.5703125" style="376" customWidth="1"/>
    <col min="12806" max="12806" width="10.28515625" style="376" customWidth="1"/>
    <col min="12807" max="12807" width="10.140625" style="376" customWidth="1"/>
    <col min="12808" max="12808" width="11.7109375" style="376" customWidth="1"/>
    <col min="12809" max="12809" width="12.42578125" style="376" customWidth="1"/>
    <col min="12810" max="12810" width="11.7109375" style="376" customWidth="1"/>
    <col min="12811" max="12811" width="13.140625" style="376" customWidth="1"/>
    <col min="12812" max="13047" width="9.140625" style="376"/>
    <col min="13048" max="13048" width="3.7109375" style="376" customWidth="1"/>
    <col min="13049" max="13049" width="30.42578125" style="376" customWidth="1"/>
    <col min="13050" max="13050" width="7.140625" style="376" customWidth="1"/>
    <col min="13051" max="13051" width="10.7109375" style="376" customWidth="1"/>
    <col min="13052" max="13052" width="10.42578125" style="376" customWidth="1"/>
    <col min="13053" max="13053" width="10.5703125" style="376" customWidth="1"/>
    <col min="13054" max="13054" width="10.42578125" style="376" customWidth="1"/>
    <col min="13055" max="13057" width="10.5703125" style="376" customWidth="1"/>
    <col min="13058" max="13060" width="10.42578125" style="376" customWidth="1"/>
    <col min="13061" max="13061" width="10.5703125" style="376" customWidth="1"/>
    <col min="13062" max="13062" width="10.28515625" style="376" customWidth="1"/>
    <col min="13063" max="13063" width="10.140625" style="376" customWidth="1"/>
    <col min="13064" max="13064" width="11.7109375" style="376" customWidth="1"/>
    <col min="13065" max="13065" width="12.42578125" style="376" customWidth="1"/>
    <col min="13066" max="13066" width="11.7109375" style="376" customWidth="1"/>
    <col min="13067" max="13067" width="13.140625" style="376" customWidth="1"/>
    <col min="13068" max="13303" width="9.140625" style="376"/>
    <col min="13304" max="13304" width="3.7109375" style="376" customWidth="1"/>
    <col min="13305" max="13305" width="30.42578125" style="376" customWidth="1"/>
    <col min="13306" max="13306" width="7.140625" style="376" customWidth="1"/>
    <col min="13307" max="13307" width="10.7109375" style="376" customWidth="1"/>
    <col min="13308" max="13308" width="10.42578125" style="376" customWidth="1"/>
    <col min="13309" max="13309" width="10.5703125" style="376" customWidth="1"/>
    <col min="13310" max="13310" width="10.42578125" style="376" customWidth="1"/>
    <col min="13311" max="13313" width="10.5703125" style="376" customWidth="1"/>
    <col min="13314" max="13316" width="10.42578125" style="376" customWidth="1"/>
    <col min="13317" max="13317" width="10.5703125" style="376" customWidth="1"/>
    <col min="13318" max="13318" width="10.28515625" style="376" customWidth="1"/>
    <col min="13319" max="13319" width="10.140625" style="376" customWidth="1"/>
    <col min="13320" max="13320" width="11.7109375" style="376" customWidth="1"/>
    <col min="13321" max="13321" width="12.42578125" style="376" customWidth="1"/>
    <col min="13322" max="13322" width="11.7109375" style="376" customWidth="1"/>
    <col min="13323" max="13323" width="13.140625" style="376" customWidth="1"/>
    <col min="13324" max="13559" width="9.140625" style="376"/>
    <col min="13560" max="13560" width="3.7109375" style="376" customWidth="1"/>
    <col min="13561" max="13561" width="30.42578125" style="376" customWidth="1"/>
    <col min="13562" max="13562" width="7.140625" style="376" customWidth="1"/>
    <col min="13563" max="13563" width="10.7109375" style="376" customWidth="1"/>
    <col min="13564" max="13564" width="10.42578125" style="376" customWidth="1"/>
    <col min="13565" max="13565" width="10.5703125" style="376" customWidth="1"/>
    <col min="13566" max="13566" width="10.42578125" style="376" customWidth="1"/>
    <col min="13567" max="13569" width="10.5703125" style="376" customWidth="1"/>
    <col min="13570" max="13572" width="10.42578125" style="376" customWidth="1"/>
    <col min="13573" max="13573" width="10.5703125" style="376" customWidth="1"/>
    <col min="13574" max="13574" width="10.28515625" style="376" customWidth="1"/>
    <col min="13575" max="13575" width="10.140625" style="376" customWidth="1"/>
    <col min="13576" max="13576" width="11.7109375" style="376" customWidth="1"/>
    <col min="13577" max="13577" width="12.42578125" style="376" customWidth="1"/>
    <col min="13578" max="13578" width="11.7109375" style="376" customWidth="1"/>
    <col min="13579" max="13579" width="13.140625" style="376" customWidth="1"/>
    <col min="13580" max="13815" width="9.140625" style="376"/>
    <col min="13816" max="13816" width="3.7109375" style="376" customWidth="1"/>
    <col min="13817" max="13817" width="30.42578125" style="376" customWidth="1"/>
    <col min="13818" max="13818" width="7.140625" style="376" customWidth="1"/>
    <col min="13819" max="13819" width="10.7109375" style="376" customWidth="1"/>
    <col min="13820" max="13820" width="10.42578125" style="376" customWidth="1"/>
    <col min="13821" max="13821" width="10.5703125" style="376" customWidth="1"/>
    <col min="13822" max="13822" width="10.42578125" style="376" customWidth="1"/>
    <col min="13823" max="13825" width="10.5703125" style="376" customWidth="1"/>
    <col min="13826" max="13828" width="10.42578125" style="376" customWidth="1"/>
    <col min="13829" max="13829" width="10.5703125" style="376" customWidth="1"/>
    <col min="13830" max="13830" width="10.28515625" style="376" customWidth="1"/>
    <col min="13831" max="13831" width="10.140625" style="376" customWidth="1"/>
    <col min="13832" max="13832" width="11.7109375" style="376" customWidth="1"/>
    <col min="13833" max="13833" width="12.42578125" style="376" customWidth="1"/>
    <col min="13834" max="13834" width="11.7109375" style="376" customWidth="1"/>
    <col min="13835" max="13835" width="13.140625" style="376" customWidth="1"/>
    <col min="13836" max="14071" width="9.140625" style="376"/>
    <col min="14072" max="14072" width="3.7109375" style="376" customWidth="1"/>
    <col min="14073" max="14073" width="30.42578125" style="376" customWidth="1"/>
    <col min="14074" max="14074" width="7.140625" style="376" customWidth="1"/>
    <col min="14075" max="14075" width="10.7109375" style="376" customWidth="1"/>
    <col min="14076" max="14076" width="10.42578125" style="376" customWidth="1"/>
    <col min="14077" max="14077" width="10.5703125" style="376" customWidth="1"/>
    <col min="14078" max="14078" width="10.42578125" style="376" customWidth="1"/>
    <col min="14079" max="14081" width="10.5703125" style="376" customWidth="1"/>
    <col min="14082" max="14084" width="10.42578125" style="376" customWidth="1"/>
    <col min="14085" max="14085" width="10.5703125" style="376" customWidth="1"/>
    <col min="14086" max="14086" width="10.28515625" style="376" customWidth="1"/>
    <col min="14087" max="14087" width="10.140625" style="376" customWidth="1"/>
    <col min="14088" max="14088" width="11.7109375" style="376" customWidth="1"/>
    <col min="14089" max="14089" width="12.42578125" style="376" customWidth="1"/>
    <col min="14090" max="14090" width="11.7109375" style="376" customWidth="1"/>
    <col min="14091" max="14091" width="13.140625" style="376" customWidth="1"/>
    <col min="14092" max="14327" width="9.140625" style="376"/>
    <col min="14328" max="14328" width="3.7109375" style="376" customWidth="1"/>
    <col min="14329" max="14329" width="30.42578125" style="376" customWidth="1"/>
    <col min="14330" max="14330" width="7.140625" style="376" customWidth="1"/>
    <col min="14331" max="14331" width="10.7109375" style="376" customWidth="1"/>
    <col min="14332" max="14332" width="10.42578125" style="376" customWidth="1"/>
    <col min="14333" max="14333" width="10.5703125" style="376" customWidth="1"/>
    <col min="14334" max="14334" width="10.42578125" style="376" customWidth="1"/>
    <col min="14335" max="14337" width="10.5703125" style="376" customWidth="1"/>
    <col min="14338" max="14340" width="10.42578125" style="376" customWidth="1"/>
    <col min="14341" max="14341" width="10.5703125" style="376" customWidth="1"/>
    <col min="14342" max="14342" width="10.28515625" style="376" customWidth="1"/>
    <col min="14343" max="14343" width="10.140625" style="376" customWidth="1"/>
    <col min="14344" max="14344" width="11.7109375" style="376" customWidth="1"/>
    <col min="14345" max="14345" width="12.42578125" style="376" customWidth="1"/>
    <col min="14346" max="14346" width="11.7109375" style="376" customWidth="1"/>
    <col min="14347" max="14347" width="13.140625" style="376" customWidth="1"/>
    <col min="14348" max="14583" width="9.140625" style="376"/>
    <col min="14584" max="14584" width="3.7109375" style="376" customWidth="1"/>
    <col min="14585" max="14585" width="30.42578125" style="376" customWidth="1"/>
    <col min="14586" max="14586" width="7.140625" style="376" customWidth="1"/>
    <col min="14587" max="14587" width="10.7109375" style="376" customWidth="1"/>
    <col min="14588" max="14588" width="10.42578125" style="376" customWidth="1"/>
    <col min="14589" max="14589" width="10.5703125" style="376" customWidth="1"/>
    <col min="14590" max="14590" width="10.42578125" style="376" customWidth="1"/>
    <col min="14591" max="14593" width="10.5703125" style="376" customWidth="1"/>
    <col min="14594" max="14596" width="10.42578125" style="376" customWidth="1"/>
    <col min="14597" max="14597" width="10.5703125" style="376" customWidth="1"/>
    <col min="14598" max="14598" width="10.28515625" style="376" customWidth="1"/>
    <col min="14599" max="14599" width="10.140625" style="376" customWidth="1"/>
    <col min="14600" max="14600" width="11.7109375" style="376" customWidth="1"/>
    <col min="14601" max="14601" width="12.42578125" style="376" customWidth="1"/>
    <col min="14602" max="14602" width="11.7109375" style="376" customWidth="1"/>
    <col min="14603" max="14603" width="13.140625" style="376" customWidth="1"/>
    <col min="14604" max="14839" width="9.140625" style="376"/>
    <col min="14840" max="14840" width="3.7109375" style="376" customWidth="1"/>
    <col min="14841" max="14841" width="30.42578125" style="376" customWidth="1"/>
    <col min="14842" max="14842" width="7.140625" style="376" customWidth="1"/>
    <col min="14843" max="14843" width="10.7109375" style="376" customWidth="1"/>
    <col min="14844" max="14844" width="10.42578125" style="376" customWidth="1"/>
    <col min="14845" max="14845" width="10.5703125" style="376" customWidth="1"/>
    <col min="14846" max="14846" width="10.42578125" style="376" customWidth="1"/>
    <col min="14847" max="14849" width="10.5703125" style="376" customWidth="1"/>
    <col min="14850" max="14852" width="10.42578125" style="376" customWidth="1"/>
    <col min="14853" max="14853" width="10.5703125" style="376" customWidth="1"/>
    <col min="14854" max="14854" width="10.28515625" style="376" customWidth="1"/>
    <col min="14855" max="14855" width="10.140625" style="376" customWidth="1"/>
    <col min="14856" max="14856" width="11.7109375" style="376" customWidth="1"/>
    <col min="14857" max="14857" width="12.42578125" style="376" customWidth="1"/>
    <col min="14858" max="14858" width="11.7109375" style="376" customWidth="1"/>
    <col min="14859" max="14859" width="13.140625" style="376" customWidth="1"/>
    <col min="14860" max="15095" width="9.140625" style="376"/>
    <col min="15096" max="15096" width="3.7109375" style="376" customWidth="1"/>
    <col min="15097" max="15097" width="30.42578125" style="376" customWidth="1"/>
    <col min="15098" max="15098" width="7.140625" style="376" customWidth="1"/>
    <col min="15099" max="15099" width="10.7109375" style="376" customWidth="1"/>
    <col min="15100" max="15100" width="10.42578125" style="376" customWidth="1"/>
    <col min="15101" max="15101" width="10.5703125" style="376" customWidth="1"/>
    <col min="15102" max="15102" width="10.42578125" style="376" customWidth="1"/>
    <col min="15103" max="15105" width="10.5703125" style="376" customWidth="1"/>
    <col min="15106" max="15108" width="10.42578125" style="376" customWidth="1"/>
    <col min="15109" max="15109" width="10.5703125" style="376" customWidth="1"/>
    <col min="15110" max="15110" width="10.28515625" style="376" customWidth="1"/>
    <col min="15111" max="15111" width="10.140625" style="376" customWidth="1"/>
    <col min="15112" max="15112" width="11.7109375" style="376" customWidth="1"/>
    <col min="15113" max="15113" width="12.42578125" style="376" customWidth="1"/>
    <col min="15114" max="15114" width="11.7109375" style="376" customWidth="1"/>
    <col min="15115" max="15115" width="13.140625" style="376" customWidth="1"/>
    <col min="15116" max="15351" width="9.140625" style="376"/>
    <col min="15352" max="15352" width="3.7109375" style="376" customWidth="1"/>
    <col min="15353" max="15353" width="30.42578125" style="376" customWidth="1"/>
    <col min="15354" max="15354" width="7.140625" style="376" customWidth="1"/>
    <col min="15355" max="15355" width="10.7109375" style="376" customWidth="1"/>
    <col min="15356" max="15356" width="10.42578125" style="376" customWidth="1"/>
    <col min="15357" max="15357" width="10.5703125" style="376" customWidth="1"/>
    <col min="15358" max="15358" width="10.42578125" style="376" customWidth="1"/>
    <col min="15359" max="15361" width="10.5703125" style="376" customWidth="1"/>
    <col min="15362" max="15364" width="10.42578125" style="376" customWidth="1"/>
    <col min="15365" max="15365" width="10.5703125" style="376" customWidth="1"/>
    <col min="15366" max="15366" width="10.28515625" style="376" customWidth="1"/>
    <col min="15367" max="15367" width="10.140625" style="376" customWidth="1"/>
    <col min="15368" max="15368" width="11.7109375" style="376" customWidth="1"/>
    <col min="15369" max="15369" width="12.42578125" style="376" customWidth="1"/>
    <col min="15370" max="15370" width="11.7109375" style="376" customWidth="1"/>
    <col min="15371" max="15371" width="13.140625" style="376" customWidth="1"/>
    <col min="15372" max="15607" width="9.140625" style="376"/>
    <col min="15608" max="15608" width="3.7109375" style="376" customWidth="1"/>
    <col min="15609" max="15609" width="30.42578125" style="376" customWidth="1"/>
    <col min="15610" max="15610" width="7.140625" style="376" customWidth="1"/>
    <col min="15611" max="15611" width="10.7109375" style="376" customWidth="1"/>
    <col min="15612" max="15612" width="10.42578125" style="376" customWidth="1"/>
    <col min="15613" max="15613" width="10.5703125" style="376" customWidth="1"/>
    <col min="15614" max="15614" width="10.42578125" style="376" customWidth="1"/>
    <col min="15615" max="15617" width="10.5703125" style="376" customWidth="1"/>
    <col min="15618" max="15620" width="10.42578125" style="376" customWidth="1"/>
    <col min="15621" max="15621" width="10.5703125" style="376" customWidth="1"/>
    <col min="15622" max="15622" width="10.28515625" style="376" customWidth="1"/>
    <col min="15623" max="15623" width="10.140625" style="376" customWidth="1"/>
    <col min="15624" max="15624" width="11.7109375" style="376" customWidth="1"/>
    <col min="15625" max="15625" width="12.42578125" style="376" customWidth="1"/>
    <col min="15626" max="15626" width="11.7109375" style="376" customWidth="1"/>
    <col min="15627" max="15627" width="13.140625" style="376" customWidth="1"/>
    <col min="15628" max="15863" width="9.140625" style="376"/>
    <col min="15864" max="15864" width="3.7109375" style="376" customWidth="1"/>
    <col min="15865" max="15865" width="30.42578125" style="376" customWidth="1"/>
    <col min="15866" max="15866" width="7.140625" style="376" customWidth="1"/>
    <col min="15867" max="15867" width="10.7109375" style="376" customWidth="1"/>
    <col min="15868" max="15868" width="10.42578125" style="376" customWidth="1"/>
    <col min="15869" max="15869" width="10.5703125" style="376" customWidth="1"/>
    <col min="15870" max="15870" width="10.42578125" style="376" customWidth="1"/>
    <col min="15871" max="15873" width="10.5703125" style="376" customWidth="1"/>
    <col min="15874" max="15876" width="10.42578125" style="376" customWidth="1"/>
    <col min="15877" max="15877" width="10.5703125" style="376" customWidth="1"/>
    <col min="15878" max="15878" width="10.28515625" style="376" customWidth="1"/>
    <col min="15879" max="15879" width="10.140625" style="376" customWidth="1"/>
    <col min="15880" max="15880" width="11.7109375" style="376" customWidth="1"/>
    <col min="15881" max="15881" width="12.42578125" style="376" customWidth="1"/>
    <col min="15882" max="15882" width="11.7109375" style="376" customWidth="1"/>
    <col min="15883" max="15883" width="13.140625" style="376" customWidth="1"/>
    <col min="15884" max="16119" width="9.140625" style="376"/>
    <col min="16120" max="16120" width="3.7109375" style="376" customWidth="1"/>
    <col min="16121" max="16121" width="30.42578125" style="376" customWidth="1"/>
    <col min="16122" max="16122" width="7.140625" style="376" customWidth="1"/>
    <col min="16123" max="16123" width="10.7109375" style="376" customWidth="1"/>
    <col min="16124" max="16124" width="10.42578125" style="376" customWidth="1"/>
    <col min="16125" max="16125" width="10.5703125" style="376" customWidth="1"/>
    <col min="16126" max="16126" width="10.42578125" style="376" customWidth="1"/>
    <col min="16127" max="16129" width="10.5703125" style="376" customWidth="1"/>
    <col min="16130" max="16132" width="10.42578125" style="376" customWidth="1"/>
    <col min="16133" max="16133" width="10.5703125" style="376" customWidth="1"/>
    <col min="16134" max="16134" width="10.28515625" style="376" customWidth="1"/>
    <col min="16135" max="16135" width="10.140625" style="376" customWidth="1"/>
    <col min="16136" max="16136" width="11.7109375" style="376" customWidth="1"/>
    <col min="16137" max="16137" width="12.42578125" style="376" customWidth="1"/>
    <col min="16138" max="16138" width="11.7109375" style="376" customWidth="1"/>
    <col min="16139" max="16139" width="13.140625" style="376" customWidth="1"/>
    <col min="16140" max="16384" width="9.140625" style="376"/>
  </cols>
  <sheetData>
    <row r="1" spans="1:19" s="423" customFormat="1" ht="23.25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</row>
    <row r="2" spans="1:19" s="423" customFormat="1" ht="18">
      <c r="A2" s="673" t="s">
        <v>217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</row>
    <row r="3" spans="1:19" s="423" customFormat="1" ht="18.75" thickBo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 s="430" customFormat="1" ht="33.75" thickTop="1">
      <c r="A4" s="582" t="s">
        <v>1</v>
      </c>
      <c r="B4" s="583" t="s">
        <v>2</v>
      </c>
      <c r="C4" s="584"/>
      <c r="D4" s="585" t="s">
        <v>3</v>
      </c>
      <c r="E4" s="398" t="s">
        <v>4</v>
      </c>
      <c r="F4" s="585" t="s">
        <v>5</v>
      </c>
      <c r="G4" s="585" t="s">
        <v>6</v>
      </c>
      <c r="H4" s="585" t="s">
        <v>7</v>
      </c>
      <c r="I4" s="398" t="s">
        <v>8</v>
      </c>
      <c r="J4" s="398" t="s">
        <v>9</v>
      </c>
      <c r="K4" s="398" t="s">
        <v>10</v>
      </c>
      <c r="L4" s="398" t="s">
        <v>11</v>
      </c>
      <c r="M4" s="398" t="s">
        <v>12</v>
      </c>
      <c r="N4" s="398" t="s">
        <v>13</v>
      </c>
      <c r="O4" s="586" t="s">
        <v>14</v>
      </c>
      <c r="P4" s="398" t="s">
        <v>15</v>
      </c>
      <c r="Q4" s="398" t="s">
        <v>219</v>
      </c>
      <c r="R4" s="398" t="s">
        <v>220</v>
      </c>
      <c r="S4" s="429" t="s">
        <v>221</v>
      </c>
    </row>
    <row r="5" spans="1:19" s="435" customFormat="1" ht="25.5">
      <c r="A5" s="587" t="s">
        <v>16</v>
      </c>
      <c r="B5" s="588" t="s">
        <v>218</v>
      </c>
      <c r="C5" s="589">
        <v>31</v>
      </c>
      <c r="D5" s="399">
        <v>165</v>
      </c>
      <c r="E5" s="399">
        <v>203</v>
      </c>
      <c r="F5" s="399">
        <v>209</v>
      </c>
      <c r="G5" s="399">
        <v>147</v>
      </c>
      <c r="H5" s="399">
        <v>157</v>
      </c>
      <c r="I5" s="399">
        <v>102</v>
      </c>
      <c r="J5" s="399">
        <v>127</v>
      </c>
      <c r="K5" s="399">
        <v>112</v>
      </c>
      <c r="L5" s="399">
        <v>54</v>
      </c>
      <c r="M5" s="399">
        <v>159</v>
      </c>
      <c r="N5" s="399">
        <v>0</v>
      </c>
      <c r="O5" s="399">
        <v>92</v>
      </c>
      <c r="P5" s="399">
        <v>84</v>
      </c>
      <c r="Q5" s="399">
        <f>SUM(D5:P5)</f>
        <v>1611</v>
      </c>
      <c r="R5" s="399">
        <v>1630</v>
      </c>
      <c r="S5" s="449">
        <v>1382</v>
      </c>
    </row>
    <row r="6" spans="1:19" s="438" customFormat="1">
      <c r="A6" s="404"/>
      <c r="B6" s="405" t="s">
        <v>17</v>
      </c>
      <c r="C6" s="590"/>
      <c r="D6" s="399">
        <v>25</v>
      </c>
      <c r="E6" s="399">
        <v>87</v>
      </c>
      <c r="F6" s="399">
        <v>20</v>
      </c>
      <c r="G6" s="399">
        <v>95</v>
      </c>
      <c r="H6" s="399">
        <v>18</v>
      </c>
      <c r="I6" s="399">
        <v>15</v>
      </c>
      <c r="J6" s="399">
        <v>35</v>
      </c>
      <c r="K6" s="399">
        <v>119</v>
      </c>
      <c r="L6" s="399">
        <v>58</v>
      </c>
      <c r="M6" s="399">
        <v>25</v>
      </c>
      <c r="N6" s="399">
        <v>99</v>
      </c>
      <c r="O6" s="399">
        <v>15</v>
      </c>
      <c r="P6" s="399">
        <v>0</v>
      </c>
      <c r="Q6" s="408">
        <f>SUM(D6:P6)</f>
        <v>611</v>
      </c>
      <c r="R6" s="408">
        <v>611</v>
      </c>
      <c r="S6" s="437">
        <v>653</v>
      </c>
    </row>
    <row r="7" spans="1:19" s="444" customFormat="1" ht="15">
      <c r="A7" s="591"/>
      <c r="B7" s="592" t="s">
        <v>18</v>
      </c>
      <c r="C7" s="593"/>
      <c r="D7" s="442">
        <f>SUM(D5:D6)</f>
        <v>190</v>
      </c>
      <c r="E7" s="442">
        <f t="shared" ref="E7:P7" si="0">SUM(E5:E6)</f>
        <v>290</v>
      </c>
      <c r="F7" s="442">
        <f t="shared" si="0"/>
        <v>229</v>
      </c>
      <c r="G7" s="442">
        <f t="shared" si="0"/>
        <v>242</v>
      </c>
      <c r="H7" s="442">
        <f t="shared" si="0"/>
        <v>175</v>
      </c>
      <c r="I7" s="442">
        <f t="shared" si="0"/>
        <v>117</v>
      </c>
      <c r="J7" s="442">
        <f t="shared" si="0"/>
        <v>162</v>
      </c>
      <c r="K7" s="442">
        <f t="shared" si="0"/>
        <v>231</v>
      </c>
      <c r="L7" s="442">
        <f t="shared" si="0"/>
        <v>112</v>
      </c>
      <c r="M7" s="442">
        <f t="shared" si="0"/>
        <v>184</v>
      </c>
      <c r="N7" s="442">
        <f t="shared" si="0"/>
        <v>99</v>
      </c>
      <c r="O7" s="442">
        <f t="shared" si="0"/>
        <v>107</v>
      </c>
      <c r="P7" s="442">
        <f t="shared" si="0"/>
        <v>84</v>
      </c>
      <c r="Q7" s="442">
        <f>SUM(D7:P7)</f>
        <v>2222</v>
      </c>
      <c r="R7" s="442">
        <v>2241</v>
      </c>
      <c r="S7" s="443">
        <v>2035</v>
      </c>
    </row>
    <row r="8" spans="1:19">
      <c r="A8" s="594" t="s">
        <v>19</v>
      </c>
      <c r="B8" s="588" t="s">
        <v>20</v>
      </c>
      <c r="C8" s="595"/>
      <c r="D8" s="399">
        <v>167</v>
      </c>
      <c r="E8" s="399">
        <v>204</v>
      </c>
      <c r="F8" s="399">
        <v>208</v>
      </c>
      <c r="G8" s="399">
        <v>144</v>
      </c>
      <c r="H8" s="399">
        <v>157</v>
      </c>
      <c r="I8" s="399">
        <v>96</v>
      </c>
      <c r="J8" s="399">
        <v>127</v>
      </c>
      <c r="K8" s="399">
        <v>119</v>
      </c>
      <c r="L8" s="399">
        <v>65</v>
      </c>
      <c r="M8" s="399">
        <v>159</v>
      </c>
      <c r="N8" s="399">
        <v>0</v>
      </c>
      <c r="O8" s="399">
        <v>92</v>
      </c>
      <c r="P8" s="399">
        <v>84</v>
      </c>
      <c r="Q8" s="447">
        <f>SUM(D8:P8)</f>
        <v>1622</v>
      </c>
      <c r="R8" s="447">
        <v>1641</v>
      </c>
      <c r="S8" s="448">
        <v>1381</v>
      </c>
    </row>
    <row r="9" spans="1:19">
      <c r="A9" s="404"/>
      <c r="B9" s="405" t="s">
        <v>21</v>
      </c>
      <c r="C9" s="590"/>
      <c r="D9" s="399">
        <f>D6</f>
        <v>25</v>
      </c>
      <c r="E9" s="399">
        <f t="shared" ref="E9:P9" si="1">E6</f>
        <v>87</v>
      </c>
      <c r="F9" s="399">
        <f t="shared" si="1"/>
        <v>20</v>
      </c>
      <c r="G9" s="399">
        <f t="shared" si="1"/>
        <v>95</v>
      </c>
      <c r="H9" s="399">
        <f t="shared" si="1"/>
        <v>18</v>
      </c>
      <c r="I9" s="399">
        <f t="shared" si="1"/>
        <v>15</v>
      </c>
      <c r="J9" s="399">
        <f t="shared" si="1"/>
        <v>35</v>
      </c>
      <c r="K9" s="399">
        <f t="shared" si="1"/>
        <v>119</v>
      </c>
      <c r="L9" s="399">
        <f t="shared" si="1"/>
        <v>58</v>
      </c>
      <c r="M9" s="399">
        <f t="shared" si="1"/>
        <v>25</v>
      </c>
      <c r="N9" s="399">
        <f t="shared" si="1"/>
        <v>99</v>
      </c>
      <c r="O9" s="399">
        <f t="shared" si="1"/>
        <v>15</v>
      </c>
      <c r="P9" s="399">
        <f t="shared" si="1"/>
        <v>0</v>
      </c>
      <c r="Q9" s="399">
        <f>SUM(D9:P9)</f>
        <v>611</v>
      </c>
      <c r="R9" s="399">
        <v>611</v>
      </c>
      <c r="S9" s="449">
        <v>653</v>
      </c>
    </row>
    <row r="10" spans="1:19" s="452" customFormat="1" ht="15">
      <c r="A10" s="591"/>
      <c r="B10" s="592" t="s">
        <v>22</v>
      </c>
      <c r="C10" s="593"/>
      <c r="D10" s="450">
        <f>SUM(D8:D9)</f>
        <v>192</v>
      </c>
      <c r="E10" s="450">
        <f t="shared" ref="E10:P10" si="2">SUM(E8:E9)</f>
        <v>291</v>
      </c>
      <c r="F10" s="450">
        <f t="shared" si="2"/>
        <v>228</v>
      </c>
      <c r="G10" s="450">
        <f t="shared" si="2"/>
        <v>239</v>
      </c>
      <c r="H10" s="450">
        <f t="shared" si="2"/>
        <v>175</v>
      </c>
      <c r="I10" s="450">
        <f t="shared" si="2"/>
        <v>111</v>
      </c>
      <c r="J10" s="450">
        <f t="shared" si="2"/>
        <v>162</v>
      </c>
      <c r="K10" s="450">
        <f t="shared" si="2"/>
        <v>238</v>
      </c>
      <c r="L10" s="450">
        <f t="shared" si="2"/>
        <v>123</v>
      </c>
      <c r="M10" s="450">
        <f t="shared" si="2"/>
        <v>184</v>
      </c>
      <c r="N10" s="450">
        <f t="shared" si="2"/>
        <v>99</v>
      </c>
      <c r="O10" s="450">
        <f t="shared" si="2"/>
        <v>107</v>
      </c>
      <c r="P10" s="450">
        <f t="shared" si="2"/>
        <v>84</v>
      </c>
      <c r="Q10" s="450">
        <f>SUM(Q8:Q9)</f>
        <v>2233</v>
      </c>
      <c r="R10" s="450">
        <v>2252</v>
      </c>
      <c r="S10" s="451">
        <v>2034</v>
      </c>
    </row>
    <row r="11" spans="1:19" s="435" customFormat="1" ht="25.5">
      <c r="A11" s="587" t="s">
        <v>23</v>
      </c>
      <c r="B11" s="588" t="s">
        <v>24</v>
      </c>
      <c r="C11" s="596"/>
      <c r="D11" s="399">
        <v>119</v>
      </c>
      <c r="E11" s="399">
        <v>124</v>
      </c>
      <c r="F11" s="399">
        <v>127</v>
      </c>
      <c r="G11" s="399">
        <v>112</v>
      </c>
      <c r="H11" s="399">
        <v>108</v>
      </c>
      <c r="I11" s="399">
        <v>61</v>
      </c>
      <c r="J11" s="399">
        <v>97</v>
      </c>
      <c r="K11" s="399">
        <v>67</v>
      </c>
      <c r="L11" s="399">
        <v>47</v>
      </c>
      <c r="M11" s="399">
        <v>91</v>
      </c>
      <c r="N11" s="399">
        <v>0</v>
      </c>
      <c r="O11" s="399">
        <v>58</v>
      </c>
      <c r="P11" s="399">
        <v>43</v>
      </c>
      <c r="Q11" s="454">
        <f>SUM(D11:P11)</f>
        <v>1054</v>
      </c>
      <c r="R11" s="454">
        <v>1015</v>
      </c>
      <c r="S11" s="455">
        <v>990</v>
      </c>
    </row>
    <row r="12" spans="1:19" s="438" customFormat="1">
      <c r="A12" s="404"/>
      <c r="B12" s="405" t="s">
        <v>25</v>
      </c>
      <c r="C12" s="590"/>
      <c r="D12" s="399">
        <v>7</v>
      </c>
      <c r="E12" s="399">
        <v>49</v>
      </c>
      <c r="F12" s="399">
        <v>34</v>
      </c>
      <c r="G12" s="399">
        <v>1</v>
      </c>
      <c r="H12" s="399">
        <v>13</v>
      </c>
      <c r="I12" s="399">
        <v>16</v>
      </c>
      <c r="J12" s="399">
        <v>14</v>
      </c>
      <c r="K12" s="399">
        <v>40</v>
      </c>
      <c r="L12" s="399">
        <v>17</v>
      </c>
      <c r="M12" s="399">
        <v>28</v>
      </c>
      <c r="N12" s="399">
        <v>0</v>
      </c>
      <c r="O12" s="399">
        <v>18</v>
      </c>
      <c r="P12" s="399">
        <v>7</v>
      </c>
      <c r="Q12" s="388">
        <f>SUM(D12:P12)</f>
        <v>244</v>
      </c>
      <c r="R12" s="388">
        <v>250</v>
      </c>
      <c r="S12" s="456">
        <v>24</v>
      </c>
    </row>
    <row r="13" spans="1:19" s="438" customFormat="1">
      <c r="A13" s="404"/>
      <c r="B13" s="597" t="s">
        <v>26</v>
      </c>
      <c r="C13" s="590"/>
      <c r="D13" s="388">
        <f>D11+D12</f>
        <v>126</v>
      </c>
      <c r="E13" s="388">
        <f t="shared" ref="E13:Q13" si="3">E11+E12</f>
        <v>173</v>
      </c>
      <c r="F13" s="388">
        <f t="shared" si="3"/>
        <v>161</v>
      </c>
      <c r="G13" s="388">
        <f t="shared" si="3"/>
        <v>113</v>
      </c>
      <c r="H13" s="388">
        <f t="shared" si="3"/>
        <v>121</v>
      </c>
      <c r="I13" s="388">
        <f t="shared" si="3"/>
        <v>77</v>
      </c>
      <c r="J13" s="388">
        <f t="shared" si="3"/>
        <v>111</v>
      </c>
      <c r="K13" s="388">
        <f t="shared" si="3"/>
        <v>107</v>
      </c>
      <c r="L13" s="388">
        <f t="shared" si="3"/>
        <v>64</v>
      </c>
      <c r="M13" s="388">
        <f t="shared" si="3"/>
        <v>119</v>
      </c>
      <c r="N13" s="388">
        <f t="shared" si="3"/>
        <v>0</v>
      </c>
      <c r="O13" s="388">
        <f t="shared" si="3"/>
        <v>76</v>
      </c>
      <c r="P13" s="388">
        <f t="shared" si="3"/>
        <v>50</v>
      </c>
      <c r="Q13" s="388">
        <f t="shared" si="3"/>
        <v>1298</v>
      </c>
      <c r="R13" s="388">
        <v>1265</v>
      </c>
      <c r="S13" s="456">
        <v>1014</v>
      </c>
    </row>
    <row r="14" spans="1:19" s="438" customFormat="1">
      <c r="A14" s="598"/>
      <c r="B14" s="599" t="s">
        <v>27</v>
      </c>
      <c r="C14" s="600"/>
      <c r="D14" s="461">
        <f t="shared" ref="D14:Q14" si="4">D12/D8*100</f>
        <v>4.1916167664670656</v>
      </c>
      <c r="E14" s="461">
        <f t="shared" si="4"/>
        <v>24.019607843137255</v>
      </c>
      <c r="F14" s="461">
        <f t="shared" si="4"/>
        <v>16.346153846153847</v>
      </c>
      <c r="G14" s="461">
        <f t="shared" si="4"/>
        <v>0.69444444444444442</v>
      </c>
      <c r="H14" s="461">
        <f t="shared" si="4"/>
        <v>8.2802547770700627</v>
      </c>
      <c r="I14" s="461">
        <f t="shared" si="4"/>
        <v>16.666666666666664</v>
      </c>
      <c r="J14" s="461">
        <f t="shared" si="4"/>
        <v>11.023622047244094</v>
      </c>
      <c r="K14" s="461">
        <f t="shared" si="4"/>
        <v>33.613445378151262</v>
      </c>
      <c r="L14" s="461">
        <f t="shared" si="4"/>
        <v>26.153846153846157</v>
      </c>
      <c r="M14" s="461">
        <f t="shared" si="4"/>
        <v>17.610062893081761</v>
      </c>
      <c r="N14" s="461" t="e">
        <f t="shared" si="4"/>
        <v>#DIV/0!</v>
      </c>
      <c r="O14" s="461">
        <f t="shared" si="4"/>
        <v>19.565217391304348</v>
      </c>
      <c r="P14" s="461">
        <f t="shared" si="4"/>
        <v>8.3333333333333321</v>
      </c>
      <c r="Q14" s="461">
        <f t="shared" si="4"/>
        <v>15.043156596794081</v>
      </c>
      <c r="R14" s="461">
        <v>15.234613040828762</v>
      </c>
      <c r="S14" s="462">
        <v>1.7378711078928313</v>
      </c>
    </row>
    <row r="15" spans="1:19" s="438" customFormat="1">
      <c r="A15" s="594" t="s">
        <v>28</v>
      </c>
      <c r="B15" s="597" t="s">
        <v>29</v>
      </c>
      <c r="C15" s="595"/>
      <c r="D15" s="399">
        <f>D11</f>
        <v>119</v>
      </c>
      <c r="E15" s="399">
        <f t="shared" ref="E15:P15" si="5">E11</f>
        <v>124</v>
      </c>
      <c r="F15" s="399">
        <f t="shared" si="5"/>
        <v>127</v>
      </c>
      <c r="G15" s="399">
        <f t="shared" si="5"/>
        <v>112</v>
      </c>
      <c r="H15" s="399">
        <f t="shared" si="5"/>
        <v>108</v>
      </c>
      <c r="I15" s="399">
        <f t="shared" si="5"/>
        <v>61</v>
      </c>
      <c r="J15" s="399">
        <f t="shared" si="5"/>
        <v>97</v>
      </c>
      <c r="K15" s="399">
        <f t="shared" si="5"/>
        <v>67</v>
      </c>
      <c r="L15" s="400">
        <f t="shared" si="5"/>
        <v>47</v>
      </c>
      <c r="M15" s="399">
        <f t="shared" si="5"/>
        <v>91</v>
      </c>
      <c r="N15" s="399">
        <f t="shared" si="5"/>
        <v>0</v>
      </c>
      <c r="O15" s="399">
        <f t="shared" si="5"/>
        <v>58</v>
      </c>
      <c r="P15" s="399">
        <f t="shared" si="5"/>
        <v>43</v>
      </c>
      <c r="Q15" s="463">
        <f>SUM(D15:P15)</f>
        <v>1054</v>
      </c>
      <c r="R15" s="463">
        <v>1015</v>
      </c>
      <c r="S15" s="464">
        <v>990</v>
      </c>
    </row>
    <row r="16" spans="1:19" s="438" customFormat="1">
      <c r="A16" s="404"/>
      <c r="B16" s="405" t="s">
        <v>21</v>
      </c>
      <c r="C16" s="590"/>
      <c r="D16" s="399">
        <v>14</v>
      </c>
      <c r="E16" s="399">
        <v>60</v>
      </c>
      <c r="F16" s="399">
        <v>8</v>
      </c>
      <c r="G16" s="399">
        <v>77</v>
      </c>
      <c r="H16" s="399">
        <v>10</v>
      </c>
      <c r="I16" s="399">
        <v>9</v>
      </c>
      <c r="J16" s="399">
        <v>25</v>
      </c>
      <c r="K16" s="399">
        <v>89</v>
      </c>
      <c r="L16" s="399">
        <v>51</v>
      </c>
      <c r="M16" s="399">
        <v>17</v>
      </c>
      <c r="N16" s="399">
        <v>82</v>
      </c>
      <c r="O16" s="399">
        <v>5</v>
      </c>
      <c r="P16" s="399">
        <v>0</v>
      </c>
      <c r="Q16" s="388">
        <f>SUM(D16:P16)</f>
        <v>447</v>
      </c>
      <c r="R16" s="388">
        <v>451</v>
      </c>
      <c r="S16" s="456">
        <v>394</v>
      </c>
    </row>
    <row r="17" spans="1:19" s="444" customFormat="1" ht="15">
      <c r="A17" s="591"/>
      <c r="B17" s="601" t="s">
        <v>30</v>
      </c>
      <c r="C17" s="593"/>
      <c r="D17" s="450">
        <f t="shared" ref="D17:Q17" si="6">SUM(D15:D16)</f>
        <v>133</v>
      </c>
      <c r="E17" s="450">
        <f t="shared" si="6"/>
        <v>184</v>
      </c>
      <c r="F17" s="450">
        <f t="shared" si="6"/>
        <v>135</v>
      </c>
      <c r="G17" s="450">
        <f t="shared" si="6"/>
        <v>189</v>
      </c>
      <c r="H17" s="450">
        <f t="shared" si="6"/>
        <v>118</v>
      </c>
      <c r="I17" s="450">
        <f t="shared" si="6"/>
        <v>70</v>
      </c>
      <c r="J17" s="450">
        <f t="shared" si="6"/>
        <v>122</v>
      </c>
      <c r="K17" s="450">
        <f t="shared" si="6"/>
        <v>156</v>
      </c>
      <c r="L17" s="450">
        <f t="shared" si="6"/>
        <v>98</v>
      </c>
      <c r="M17" s="450">
        <f t="shared" si="6"/>
        <v>108</v>
      </c>
      <c r="N17" s="450">
        <f t="shared" si="6"/>
        <v>82</v>
      </c>
      <c r="O17" s="450">
        <f t="shared" si="6"/>
        <v>63</v>
      </c>
      <c r="P17" s="450">
        <f t="shared" si="6"/>
        <v>43</v>
      </c>
      <c r="Q17" s="450">
        <f t="shared" si="6"/>
        <v>1501</v>
      </c>
      <c r="R17" s="450">
        <v>1466</v>
      </c>
      <c r="S17" s="451">
        <v>1384</v>
      </c>
    </row>
    <row r="18" spans="1:19" s="435" customFormat="1" ht="25.5">
      <c r="A18" s="587">
        <v>3</v>
      </c>
      <c r="B18" s="588" t="s">
        <v>31</v>
      </c>
      <c r="C18" s="596"/>
      <c r="D18" s="408">
        <f>D8-D11</f>
        <v>48</v>
      </c>
      <c r="E18" s="408">
        <f t="shared" ref="E18:Q18" si="7">E8-E11</f>
        <v>80</v>
      </c>
      <c r="F18" s="408">
        <f t="shared" si="7"/>
        <v>81</v>
      </c>
      <c r="G18" s="408">
        <f t="shared" si="7"/>
        <v>32</v>
      </c>
      <c r="H18" s="408">
        <f t="shared" si="7"/>
        <v>49</v>
      </c>
      <c r="I18" s="408">
        <f t="shared" si="7"/>
        <v>35</v>
      </c>
      <c r="J18" s="408">
        <f t="shared" si="7"/>
        <v>30</v>
      </c>
      <c r="K18" s="408">
        <f t="shared" si="7"/>
        <v>52</v>
      </c>
      <c r="L18" s="408">
        <f t="shared" si="7"/>
        <v>18</v>
      </c>
      <c r="M18" s="408">
        <f t="shared" si="7"/>
        <v>68</v>
      </c>
      <c r="N18" s="408">
        <f t="shared" si="7"/>
        <v>0</v>
      </c>
      <c r="O18" s="408">
        <f t="shared" si="7"/>
        <v>34</v>
      </c>
      <c r="P18" s="408">
        <f t="shared" si="7"/>
        <v>41</v>
      </c>
      <c r="Q18" s="408">
        <f t="shared" si="7"/>
        <v>568</v>
      </c>
      <c r="R18" s="408">
        <v>626</v>
      </c>
      <c r="S18" s="437">
        <v>391</v>
      </c>
    </row>
    <row r="19" spans="1:19" s="438" customFormat="1">
      <c r="A19" s="404"/>
      <c r="B19" s="405" t="s">
        <v>21</v>
      </c>
      <c r="C19" s="590"/>
      <c r="D19" s="466">
        <f t="shared" ref="D19:Q19" si="8">D6-D16</f>
        <v>11</v>
      </c>
      <c r="E19" s="466">
        <f t="shared" si="8"/>
        <v>27</v>
      </c>
      <c r="F19" s="466">
        <f t="shared" si="8"/>
        <v>12</v>
      </c>
      <c r="G19" s="466">
        <f t="shared" si="8"/>
        <v>18</v>
      </c>
      <c r="H19" s="466">
        <f t="shared" si="8"/>
        <v>8</v>
      </c>
      <c r="I19" s="466">
        <f t="shared" si="8"/>
        <v>6</v>
      </c>
      <c r="J19" s="466">
        <f t="shared" si="8"/>
        <v>10</v>
      </c>
      <c r="K19" s="466">
        <f t="shared" si="8"/>
        <v>30</v>
      </c>
      <c r="L19" s="466">
        <f t="shared" si="8"/>
        <v>7</v>
      </c>
      <c r="M19" s="466">
        <f t="shared" si="8"/>
        <v>8</v>
      </c>
      <c r="N19" s="466">
        <f t="shared" si="8"/>
        <v>17</v>
      </c>
      <c r="O19" s="466">
        <f t="shared" si="8"/>
        <v>10</v>
      </c>
      <c r="P19" s="466">
        <f t="shared" si="8"/>
        <v>0</v>
      </c>
      <c r="Q19" s="466">
        <f t="shared" si="8"/>
        <v>164</v>
      </c>
      <c r="R19" s="466">
        <v>160</v>
      </c>
      <c r="S19" s="437">
        <v>259</v>
      </c>
    </row>
    <row r="20" spans="1:19" s="438" customFormat="1">
      <c r="A20" s="404"/>
      <c r="B20" s="602" t="s">
        <v>32</v>
      </c>
      <c r="C20" s="590"/>
      <c r="D20" s="388">
        <f t="shared" ref="D20:P20" si="9">SUM(D18:D19)</f>
        <v>59</v>
      </c>
      <c r="E20" s="388">
        <f t="shared" si="9"/>
        <v>107</v>
      </c>
      <c r="F20" s="388">
        <f t="shared" si="9"/>
        <v>93</v>
      </c>
      <c r="G20" s="388">
        <f t="shared" si="9"/>
        <v>50</v>
      </c>
      <c r="H20" s="388">
        <f t="shared" si="9"/>
        <v>57</v>
      </c>
      <c r="I20" s="388">
        <f>SUM(I18:I19)</f>
        <v>41</v>
      </c>
      <c r="J20" s="388">
        <f>SUM(J18:J19)</f>
        <v>40</v>
      </c>
      <c r="K20" s="388">
        <f t="shared" si="9"/>
        <v>82</v>
      </c>
      <c r="L20" s="388">
        <f t="shared" si="9"/>
        <v>25</v>
      </c>
      <c r="M20" s="388">
        <f>SUM(M18:M19)</f>
        <v>76</v>
      </c>
      <c r="N20" s="388">
        <f t="shared" si="9"/>
        <v>17</v>
      </c>
      <c r="O20" s="388">
        <f t="shared" si="9"/>
        <v>44</v>
      </c>
      <c r="P20" s="388">
        <f t="shared" si="9"/>
        <v>41</v>
      </c>
      <c r="Q20" s="388">
        <f>SUM(D20:P20)</f>
        <v>732</v>
      </c>
      <c r="R20" s="388">
        <v>786</v>
      </c>
      <c r="S20" s="456">
        <v>650</v>
      </c>
    </row>
    <row r="21" spans="1:19" s="438" customFormat="1" ht="25.5">
      <c r="A21" s="404"/>
      <c r="B21" s="405" t="s">
        <v>33</v>
      </c>
      <c r="C21" s="590"/>
      <c r="D21" s="399">
        <v>42</v>
      </c>
      <c r="E21" s="399">
        <v>31</v>
      </c>
      <c r="F21" s="399">
        <v>47</v>
      </c>
      <c r="G21" s="399">
        <v>31</v>
      </c>
      <c r="H21" s="399">
        <v>36</v>
      </c>
      <c r="I21" s="399">
        <v>19</v>
      </c>
      <c r="J21" s="399">
        <v>16</v>
      </c>
      <c r="K21" s="399">
        <v>12</v>
      </c>
      <c r="L21" s="399">
        <v>2</v>
      </c>
      <c r="M21" s="399">
        <v>40</v>
      </c>
      <c r="N21" s="399">
        <v>0</v>
      </c>
      <c r="O21" s="399">
        <v>15</v>
      </c>
      <c r="P21" s="399">
        <v>34</v>
      </c>
      <c r="Q21" s="388">
        <f>SUM(D21:P21)</f>
        <v>325</v>
      </c>
      <c r="R21" s="388">
        <v>376</v>
      </c>
      <c r="S21" s="456">
        <v>367</v>
      </c>
    </row>
    <row r="22" spans="1:19" s="435" customFormat="1">
      <c r="A22" s="603"/>
      <c r="B22" s="604" t="s">
        <v>34</v>
      </c>
      <c r="C22" s="605"/>
      <c r="D22" s="461">
        <f t="shared" ref="D22:Q22" si="10">SUM(D21/D8*100)</f>
        <v>25.149700598802394</v>
      </c>
      <c r="E22" s="461">
        <f t="shared" si="10"/>
        <v>15.196078431372548</v>
      </c>
      <c r="F22" s="461">
        <f t="shared" si="10"/>
        <v>22.596153846153847</v>
      </c>
      <c r="G22" s="461">
        <f t="shared" si="10"/>
        <v>21.527777777777779</v>
      </c>
      <c r="H22" s="461">
        <f t="shared" si="10"/>
        <v>22.929936305732486</v>
      </c>
      <c r="I22" s="461">
        <f t="shared" si="10"/>
        <v>19.791666666666664</v>
      </c>
      <c r="J22" s="461">
        <f t="shared" si="10"/>
        <v>12.598425196850393</v>
      </c>
      <c r="K22" s="461">
        <f t="shared" si="10"/>
        <v>10.084033613445378</v>
      </c>
      <c r="L22" s="461">
        <f t="shared" si="10"/>
        <v>3.0769230769230771</v>
      </c>
      <c r="M22" s="461">
        <f t="shared" si="10"/>
        <v>25.157232704402517</v>
      </c>
      <c r="N22" s="461" t="e">
        <f t="shared" si="10"/>
        <v>#DIV/0!</v>
      </c>
      <c r="O22" s="461">
        <f t="shared" si="10"/>
        <v>16.304347826086957</v>
      </c>
      <c r="P22" s="461">
        <f t="shared" si="10"/>
        <v>40.476190476190474</v>
      </c>
      <c r="Q22" s="461">
        <f t="shared" si="10"/>
        <v>20.036991368680638</v>
      </c>
      <c r="R22" s="461">
        <v>22.91285801340646</v>
      </c>
      <c r="S22" s="462">
        <v>26.57494569152788</v>
      </c>
    </row>
    <row r="23" spans="1:19" s="473" customFormat="1" ht="25.5">
      <c r="A23" s="587">
        <v>4</v>
      </c>
      <c r="B23" s="588" t="s">
        <v>207</v>
      </c>
      <c r="C23" s="606"/>
      <c r="D23" s="454">
        <f>D25-D24-1</f>
        <v>137.5</v>
      </c>
      <c r="E23" s="454">
        <f t="shared" ref="E23:Q23" si="11">E25-E24</f>
        <v>132.69999999999999</v>
      </c>
      <c r="F23" s="454">
        <f t="shared" si="11"/>
        <v>143</v>
      </c>
      <c r="G23" s="454">
        <f>G25-G24-1</f>
        <v>124.5</v>
      </c>
      <c r="H23" s="454">
        <f t="shared" si="11"/>
        <v>114.8</v>
      </c>
      <c r="I23" s="454">
        <f>I25-I24-1</f>
        <v>69.5</v>
      </c>
      <c r="J23" s="454">
        <f>J25-J24-1</f>
        <v>98.5</v>
      </c>
      <c r="K23" s="454">
        <f t="shared" si="11"/>
        <v>81.900000000000006</v>
      </c>
      <c r="L23" s="454">
        <f t="shared" si="11"/>
        <v>48.8</v>
      </c>
      <c r="M23" s="454">
        <f>M25-M24-1</f>
        <v>100.5</v>
      </c>
      <c r="N23" s="454">
        <f t="shared" si="11"/>
        <v>-9.9999999999994316E-2</v>
      </c>
      <c r="O23" s="454">
        <f>O25-O24-1</f>
        <v>54.5</v>
      </c>
      <c r="P23" s="454">
        <f t="shared" si="11"/>
        <v>43</v>
      </c>
      <c r="Q23" s="454">
        <f t="shared" si="11"/>
        <v>1147.0999999999999</v>
      </c>
      <c r="R23" s="454">
        <f t="shared" ref="R23:S23" si="12">R25-R24</f>
        <v>1135.9000000000001</v>
      </c>
      <c r="S23" s="448">
        <f t="shared" si="12"/>
        <v>1099.3</v>
      </c>
    </row>
    <row r="24" spans="1:19" s="473" customFormat="1">
      <c r="A24" s="587"/>
      <c r="B24" s="588" t="s">
        <v>208</v>
      </c>
      <c r="C24" s="606"/>
      <c r="D24" s="454">
        <f>D9*90/100-1</f>
        <v>21.5</v>
      </c>
      <c r="E24" s="454">
        <f t="shared" ref="E24:P24" si="13">E9*90/100</f>
        <v>78.3</v>
      </c>
      <c r="F24" s="454">
        <f t="shared" si="13"/>
        <v>18</v>
      </c>
      <c r="G24" s="454">
        <f>G9*90/100-1</f>
        <v>84.5</v>
      </c>
      <c r="H24" s="454">
        <f t="shared" si="13"/>
        <v>16.2</v>
      </c>
      <c r="I24" s="454">
        <f>I9*90/100-1</f>
        <v>12.5</v>
      </c>
      <c r="J24" s="454">
        <f>J9*90/100-1</f>
        <v>30.5</v>
      </c>
      <c r="K24" s="454">
        <f t="shared" si="13"/>
        <v>107.1</v>
      </c>
      <c r="L24" s="454">
        <f t="shared" si="13"/>
        <v>52.2</v>
      </c>
      <c r="M24" s="454">
        <f>M9*90/100-1</f>
        <v>21.5</v>
      </c>
      <c r="N24" s="454">
        <f>N9*90/100-1</f>
        <v>88.1</v>
      </c>
      <c r="O24" s="454">
        <f>O9*90/100-1</f>
        <v>12.5</v>
      </c>
      <c r="P24" s="454">
        <f t="shared" si="13"/>
        <v>0</v>
      </c>
      <c r="Q24" s="454">
        <f>Q9*90/100+1</f>
        <v>550.9</v>
      </c>
      <c r="R24" s="454">
        <f t="shared" ref="R24:S24" si="14">R9*90/100+1</f>
        <v>550.9</v>
      </c>
      <c r="S24" s="455">
        <f t="shared" si="14"/>
        <v>588.70000000000005</v>
      </c>
    </row>
    <row r="25" spans="1:19" s="473" customFormat="1">
      <c r="A25" s="587"/>
      <c r="B25" s="588" t="s">
        <v>22</v>
      </c>
      <c r="C25" s="606"/>
      <c r="D25" s="399">
        <v>160</v>
      </c>
      <c r="E25" s="399">
        <v>211</v>
      </c>
      <c r="F25" s="399">
        <v>161</v>
      </c>
      <c r="G25" s="399">
        <v>210</v>
      </c>
      <c r="H25" s="399">
        <v>131</v>
      </c>
      <c r="I25" s="399">
        <v>83</v>
      </c>
      <c r="J25" s="399">
        <v>130</v>
      </c>
      <c r="K25" s="399">
        <v>189</v>
      </c>
      <c r="L25" s="399">
        <v>101</v>
      </c>
      <c r="M25" s="399">
        <v>123</v>
      </c>
      <c r="N25" s="399">
        <v>88</v>
      </c>
      <c r="O25" s="399">
        <v>68</v>
      </c>
      <c r="P25" s="399">
        <v>43</v>
      </c>
      <c r="Q25" s="399">
        <f>SUM(D25:P25)</f>
        <v>1698</v>
      </c>
      <c r="R25" s="454">
        <v>1686.8</v>
      </c>
      <c r="S25" s="483">
        <v>1688</v>
      </c>
    </row>
    <row r="26" spans="1:19" s="435" customFormat="1" ht="38.25">
      <c r="A26" s="587">
        <v>5</v>
      </c>
      <c r="B26" s="588" t="s">
        <v>174</v>
      </c>
      <c r="C26" s="596"/>
      <c r="D26" s="399">
        <v>115</v>
      </c>
      <c r="E26" s="399">
        <v>111</v>
      </c>
      <c r="F26" s="399">
        <v>125</v>
      </c>
      <c r="G26" s="399">
        <v>106</v>
      </c>
      <c r="H26" s="399">
        <v>102</v>
      </c>
      <c r="I26" s="399">
        <v>60</v>
      </c>
      <c r="J26" s="399">
        <v>94</v>
      </c>
      <c r="K26" s="399">
        <v>67</v>
      </c>
      <c r="L26" s="399">
        <v>46</v>
      </c>
      <c r="M26" s="399">
        <v>91</v>
      </c>
      <c r="N26" s="399">
        <v>0</v>
      </c>
      <c r="O26" s="399">
        <v>57</v>
      </c>
      <c r="P26" s="399">
        <v>43</v>
      </c>
      <c r="Q26" s="463">
        <f t="shared" ref="Q26:Q31" si="15">SUM(D26:P26)</f>
        <v>1017</v>
      </c>
      <c r="R26" s="463">
        <v>998</v>
      </c>
      <c r="S26" s="464">
        <v>960</v>
      </c>
    </row>
    <row r="27" spans="1:19" s="438" customFormat="1">
      <c r="A27" s="404"/>
      <c r="B27" s="405" t="s">
        <v>37</v>
      </c>
      <c r="C27" s="590"/>
      <c r="D27" s="399">
        <v>14</v>
      </c>
      <c r="E27" s="399">
        <v>60</v>
      </c>
      <c r="F27" s="399">
        <v>8</v>
      </c>
      <c r="G27" s="399">
        <v>77</v>
      </c>
      <c r="H27" s="399">
        <v>10</v>
      </c>
      <c r="I27" s="399">
        <v>9</v>
      </c>
      <c r="J27" s="399">
        <v>25</v>
      </c>
      <c r="K27" s="399">
        <v>89</v>
      </c>
      <c r="L27" s="399">
        <v>51</v>
      </c>
      <c r="M27" s="399">
        <v>17</v>
      </c>
      <c r="N27" s="399">
        <v>82</v>
      </c>
      <c r="O27" s="399">
        <v>5</v>
      </c>
      <c r="P27" s="399">
        <v>0</v>
      </c>
      <c r="Q27" s="463">
        <f t="shared" si="15"/>
        <v>447</v>
      </c>
      <c r="R27" s="463">
        <v>451</v>
      </c>
      <c r="S27" s="456">
        <v>394</v>
      </c>
    </row>
    <row r="28" spans="1:19" s="438" customFormat="1">
      <c r="A28" s="598"/>
      <c r="B28" s="599" t="s">
        <v>38</v>
      </c>
      <c r="C28" s="600"/>
      <c r="D28" s="475">
        <f t="shared" ref="D28:P28" si="16">SUM(D26:D27)</f>
        <v>129</v>
      </c>
      <c r="E28" s="475">
        <f t="shared" si="16"/>
        <v>171</v>
      </c>
      <c r="F28" s="475">
        <f t="shared" si="16"/>
        <v>133</v>
      </c>
      <c r="G28" s="475">
        <f t="shared" si="16"/>
        <v>183</v>
      </c>
      <c r="H28" s="475">
        <f t="shared" si="16"/>
        <v>112</v>
      </c>
      <c r="I28" s="475">
        <f>SUM(I26:I27)</f>
        <v>69</v>
      </c>
      <c r="J28" s="475">
        <f>SUM(J26:J27)</f>
        <v>119</v>
      </c>
      <c r="K28" s="475">
        <f t="shared" si="16"/>
        <v>156</v>
      </c>
      <c r="L28" s="475">
        <f t="shared" si="16"/>
        <v>97</v>
      </c>
      <c r="M28" s="475">
        <f>SUM(M26:M27)</f>
        <v>108</v>
      </c>
      <c r="N28" s="475">
        <f t="shared" si="16"/>
        <v>82</v>
      </c>
      <c r="O28" s="475">
        <f t="shared" si="16"/>
        <v>62</v>
      </c>
      <c r="P28" s="475">
        <f t="shared" si="16"/>
        <v>43</v>
      </c>
      <c r="Q28" s="475">
        <f t="shared" si="15"/>
        <v>1464</v>
      </c>
      <c r="R28" s="475">
        <v>1449</v>
      </c>
      <c r="S28" s="476">
        <v>1354</v>
      </c>
    </row>
    <row r="29" spans="1:19" s="444" customFormat="1" ht="15" thickBot="1">
      <c r="A29" s="607">
        <v>6</v>
      </c>
      <c r="B29" s="608" t="s">
        <v>39</v>
      </c>
      <c r="C29" s="609"/>
      <c r="D29" s="610">
        <v>1040155</v>
      </c>
      <c r="E29" s="610">
        <v>1489783</v>
      </c>
      <c r="F29" s="610">
        <v>953793</v>
      </c>
      <c r="G29" s="610">
        <v>1261213</v>
      </c>
      <c r="H29" s="610">
        <v>942180</v>
      </c>
      <c r="I29" s="610">
        <v>487103</v>
      </c>
      <c r="J29" s="610">
        <v>786675</v>
      </c>
      <c r="K29" s="610">
        <v>1422190</v>
      </c>
      <c r="L29" s="610">
        <v>840943</v>
      </c>
      <c r="M29" s="610">
        <v>947831</v>
      </c>
      <c r="N29" s="610">
        <v>645572</v>
      </c>
      <c r="O29" s="610">
        <v>462508</v>
      </c>
      <c r="P29" s="610">
        <v>288486</v>
      </c>
      <c r="Q29" s="480">
        <v>11568432</v>
      </c>
      <c r="R29" s="480">
        <v>11575210.9</v>
      </c>
      <c r="S29" s="482">
        <v>11947971.950000001</v>
      </c>
    </row>
    <row r="30" spans="1:19" s="438" customFormat="1" ht="15" thickTop="1">
      <c r="A30" s="594">
        <v>7</v>
      </c>
      <c r="B30" s="588" t="s">
        <v>40</v>
      </c>
      <c r="C30" s="595"/>
      <c r="D30" s="399">
        <v>413854</v>
      </c>
      <c r="E30" s="399">
        <v>53917</v>
      </c>
      <c r="F30" s="399">
        <v>349019</v>
      </c>
      <c r="G30" s="399">
        <f>344329+6107</f>
        <v>350436</v>
      </c>
      <c r="H30" s="399">
        <v>387314</v>
      </c>
      <c r="I30" s="399">
        <v>246332</v>
      </c>
      <c r="J30" s="399">
        <v>412358</v>
      </c>
      <c r="K30" s="399">
        <v>233999</v>
      </c>
      <c r="L30" s="399">
        <v>10300</v>
      </c>
      <c r="M30" s="399">
        <v>89872</v>
      </c>
      <c r="N30" s="399">
        <v>0</v>
      </c>
      <c r="O30" s="399">
        <v>45534</v>
      </c>
      <c r="P30" s="399">
        <v>63624</v>
      </c>
      <c r="Q30" s="400">
        <f t="shared" si="15"/>
        <v>2656559</v>
      </c>
      <c r="R30" s="400">
        <v>2573608</v>
      </c>
      <c r="S30" s="483">
        <v>4045494</v>
      </c>
    </row>
    <row r="31" spans="1:19" s="438" customFormat="1">
      <c r="A31" s="404"/>
      <c r="B31" s="405" t="s">
        <v>41</v>
      </c>
      <c r="C31" s="590"/>
      <c r="D31" s="399">
        <v>323268</v>
      </c>
      <c r="E31" s="399">
        <v>810022</v>
      </c>
      <c r="F31" s="399">
        <v>383178</v>
      </c>
      <c r="G31" s="399">
        <v>259324</v>
      </c>
      <c r="H31" s="399">
        <v>355603</v>
      </c>
      <c r="I31" s="399">
        <v>138820</v>
      </c>
      <c r="J31" s="399">
        <v>126178</v>
      </c>
      <c r="K31" s="399">
        <v>235111</v>
      </c>
      <c r="L31" s="399">
        <v>361463</v>
      </c>
      <c r="M31" s="399">
        <v>598038</v>
      </c>
      <c r="N31" s="399">
        <v>0</v>
      </c>
      <c r="O31" s="399">
        <v>329400</v>
      </c>
      <c r="P31" s="399">
        <v>223424</v>
      </c>
      <c r="Q31" s="400">
        <f t="shared" si="15"/>
        <v>4143829</v>
      </c>
      <c r="R31" s="400">
        <v>4088500</v>
      </c>
      <c r="S31" s="483">
        <v>2175160</v>
      </c>
    </row>
    <row r="32" spans="1:19" s="438" customFormat="1" ht="25.5">
      <c r="A32" s="404"/>
      <c r="B32" s="405" t="s">
        <v>42</v>
      </c>
      <c r="C32" s="590"/>
      <c r="D32" s="399">
        <f t="shared" ref="D32:Q32" si="17">SUM(D30:D31)</f>
        <v>737122</v>
      </c>
      <c r="E32" s="399">
        <f t="shared" si="17"/>
        <v>863939</v>
      </c>
      <c r="F32" s="399">
        <f t="shared" si="17"/>
        <v>732197</v>
      </c>
      <c r="G32" s="399">
        <f t="shared" si="17"/>
        <v>609760</v>
      </c>
      <c r="H32" s="399">
        <f t="shared" si="17"/>
        <v>742917</v>
      </c>
      <c r="I32" s="399">
        <f t="shared" si="17"/>
        <v>385152</v>
      </c>
      <c r="J32" s="399">
        <f t="shared" si="17"/>
        <v>538536</v>
      </c>
      <c r="K32" s="399">
        <f t="shared" si="17"/>
        <v>469110</v>
      </c>
      <c r="L32" s="399">
        <f t="shared" si="17"/>
        <v>371763</v>
      </c>
      <c r="M32" s="399">
        <f t="shared" si="17"/>
        <v>687910</v>
      </c>
      <c r="N32" s="399">
        <f t="shared" si="17"/>
        <v>0</v>
      </c>
      <c r="O32" s="399">
        <f t="shared" si="17"/>
        <v>374934</v>
      </c>
      <c r="P32" s="399">
        <f t="shared" si="17"/>
        <v>287048</v>
      </c>
      <c r="Q32" s="401">
        <f t="shared" si="17"/>
        <v>6800388</v>
      </c>
      <c r="R32" s="401">
        <v>6662108</v>
      </c>
      <c r="S32" s="484">
        <v>6220654</v>
      </c>
    </row>
    <row r="33" spans="1:19" s="438" customFormat="1">
      <c r="A33" s="611"/>
      <c r="B33" s="405" t="s">
        <v>43</v>
      </c>
      <c r="C33" s="590"/>
      <c r="D33" s="399">
        <f>15685+81207</f>
        <v>96892</v>
      </c>
      <c r="E33" s="399">
        <v>344040</v>
      </c>
      <c r="F33" s="399">
        <v>43493</v>
      </c>
      <c r="G33" s="399">
        <f>303449+200351</f>
        <v>503800</v>
      </c>
      <c r="H33" s="399">
        <v>55993</v>
      </c>
      <c r="I33" s="399">
        <f>47964</f>
        <v>47964</v>
      </c>
      <c r="J33" s="399">
        <v>164810</v>
      </c>
      <c r="K33" s="399">
        <f>200697+167527</f>
        <v>368224</v>
      </c>
      <c r="L33" s="399">
        <f>417712+17923</f>
        <v>435635</v>
      </c>
      <c r="M33" s="399">
        <f>102516+19631</f>
        <v>122147</v>
      </c>
      <c r="N33" s="399">
        <v>52268</v>
      </c>
      <c r="O33" s="399">
        <f>27492</f>
        <v>27492</v>
      </c>
      <c r="P33" s="399">
        <v>0</v>
      </c>
      <c r="Q33" s="463">
        <f>SUM(D33:P33)</f>
        <v>2262758</v>
      </c>
      <c r="R33" s="463">
        <v>2259580</v>
      </c>
      <c r="S33" s="464">
        <v>2642178</v>
      </c>
    </row>
    <row r="34" spans="1:19" s="438" customFormat="1" ht="18" customHeight="1">
      <c r="A34" s="611"/>
      <c r="B34" s="405" t="s">
        <v>153</v>
      </c>
      <c r="C34" s="590"/>
      <c r="D34" s="399"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f>71441+238255</f>
        <v>309696</v>
      </c>
      <c r="L34" s="399">
        <v>0</v>
      </c>
      <c r="M34" s="399">
        <v>0</v>
      </c>
      <c r="N34" s="399">
        <f>294834+230451</f>
        <v>525285</v>
      </c>
      <c r="O34" s="399">
        <v>0</v>
      </c>
      <c r="P34" s="399">
        <v>0</v>
      </c>
      <c r="Q34" s="463">
        <f>SUM(D34:P34)</f>
        <v>834981</v>
      </c>
      <c r="R34" s="463">
        <v>813661</v>
      </c>
      <c r="S34" s="486">
        <v>0</v>
      </c>
    </row>
    <row r="35" spans="1:19" s="438" customFormat="1">
      <c r="A35" s="611"/>
      <c r="B35" s="405" t="s">
        <v>150</v>
      </c>
      <c r="C35" s="590"/>
      <c r="D35" s="399">
        <f>SUM(D33:D34)</f>
        <v>96892</v>
      </c>
      <c r="E35" s="399">
        <f t="shared" ref="E35:Q35" si="18">SUM(E33:E34)</f>
        <v>344040</v>
      </c>
      <c r="F35" s="399">
        <f t="shared" si="18"/>
        <v>43493</v>
      </c>
      <c r="G35" s="399">
        <f t="shared" si="18"/>
        <v>503800</v>
      </c>
      <c r="H35" s="399">
        <f t="shared" si="18"/>
        <v>55993</v>
      </c>
      <c r="I35" s="399">
        <f t="shared" si="18"/>
        <v>47964</v>
      </c>
      <c r="J35" s="399">
        <f t="shared" si="18"/>
        <v>164810</v>
      </c>
      <c r="K35" s="399">
        <f t="shared" si="18"/>
        <v>677920</v>
      </c>
      <c r="L35" s="399">
        <f t="shared" si="18"/>
        <v>435635</v>
      </c>
      <c r="M35" s="399">
        <f t="shared" si="18"/>
        <v>122147</v>
      </c>
      <c r="N35" s="399">
        <f t="shared" si="18"/>
        <v>577553</v>
      </c>
      <c r="O35" s="399">
        <f t="shared" si="18"/>
        <v>27492</v>
      </c>
      <c r="P35" s="399">
        <f t="shared" si="18"/>
        <v>0</v>
      </c>
      <c r="Q35" s="399">
        <f t="shared" si="18"/>
        <v>3097739</v>
      </c>
      <c r="R35" s="399">
        <v>3073241</v>
      </c>
      <c r="S35" s="464">
        <v>2642178</v>
      </c>
    </row>
    <row r="36" spans="1:19" s="444" customFormat="1" ht="25.5">
      <c r="A36" s="612"/>
      <c r="B36" s="613" t="s">
        <v>175</v>
      </c>
      <c r="C36" s="614"/>
      <c r="D36" s="490">
        <f>D32+D35</f>
        <v>834014</v>
      </c>
      <c r="E36" s="490">
        <f t="shared" ref="E36:Q36" si="19">E32+E35</f>
        <v>1207979</v>
      </c>
      <c r="F36" s="490">
        <f t="shared" si="19"/>
        <v>775690</v>
      </c>
      <c r="G36" s="490">
        <f t="shared" si="19"/>
        <v>1113560</v>
      </c>
      <c r="H36" s="490">
        <f t="shared" si="19"/>
        <v>798910</v>
      </c>
      <c r="I36" s="490">
        <f t="shared" si="19"/>
        <v>433116</v>
      </c>
      <c r="J36" s="490">
        <f t="shared" si="19"/>
        <v>703346</v>
      </c>
      <c r="K36" s="490">
        <f t="shared" si="19"/>
        <v>1147030</v>
      </c>
      <c r="L36" s="490">
        <f t="shared" si="19"/>
        <v>807398</v>
      </c>
      <c r="M36" s="490">
        <f t="shared" si="19"/>
        <v>810057</v>
      </c>
      <c r="N36" s="490">
        <f t="shared" si="19"/>
        <v>577553</v>
      </c>
      <c r="O36" s="490">
        <f t="shared" si="19"/>
        <v>402426</v>
      </c>
      <c r="P36" s="490">
        <f t="shared" si="19"/>
        <v>287048</v>
      </c>
      <c r="Q36" s="490">
        <f t="shared" si="19"/>
        <v>9898127</v>
      </c>
      <c r="R36" s="490">
        <v>9735349</v>
      </c>
      <c r="S36" s="491">
        <v>8862832</v>
      </c>
    </row>
    <row r="37" spans="1:19" s="438" customFormat="1">
      <c r="A37" s="594"/>
      <c r="B37" s="588" t="s">
        <v>44</v>
      </c>
      <c r="C37" s="595"/>
      <c r="D37" s="463">
        <f>D36/C5</f>
        <v>26903.677419354837</v>
      </c>
      <c r="E37" s="463">
        <f>E36/C5</f>
        <v>38967.06451612903</v>
      </c>
      <c r="F37" s="463">
        <f>F36/C5</f>
        <v>25022.258064516129</v>
      </c>
      <c r="G37" s="463">
        <f>G36/C5</f>
        <v>35921.290322580644</v>
      </c>
      <c r="H37" s="463">
        <f>H36/C5</f>
        <v>25771.290322580644</v>
      </c>
      <c r="I37" s="463">
        <f>I36/C5</f>
        <v>13971.483870967742</v>
      </c>
      <c r="J37" s="463">
        <f>J36/C5</f>
        <v>22688.580645161292</v>
      </c>
      <c r="K37" s="463">
        <f>K36/C5</f>
        <v>37000.967741935485</v>
      </c>
      <c r="L37" s="463">
        <f>L36/C5</f>
        <v>26045.096774193549</v>
      </c>
      <c r="M37" s="463">
        <f>M36/C5</f>
        <v>26130.870967741936</v>
      </c>
      <c r="N37" s="463">
        <f>N36/C5</f>
        <v>18630.741935483871</v>
      </c>
      <c r="O37" s="463">
        <f>O36/C5</f>
        <v>12981.483870967742</v>
      </c>
      <c r="P37" s="463">
        <f>P36/C5</f>
        <v>9259.6129032258068</v>
      </c>
      <c r="Q37" s="463">
        <f>Q36/C5</f>
        <v>319294.41935483873</v>
      </c>
      <c r="R37" s="463">
        <v>314043.51612903224</v>
      </c>
      <c r="S37" s="464">
        <v>285897.80645161291</v>
      </c>
    </row>
    <row r="38" spans="1:19" s="438" customFormat="1">
      <c r="A38" s="598"/>
      <c r="B38" s="599" t="s">
        <v>45</v>
      </c>
      <c r="C38" s="600"/>
      <c r="D38" s="492">
        <f t="shared" ref="D38:Q38" si="20">SUM((D37)/D17)</f>
        <v>202.28328886732962</v>
      </c>
      <c r="E38" s="492">
        <f t="shared" si="20"/>
        <v>211.7775245441795</v>
      </c>
      <c r="F38" s="492">
        <f t="shared" si="20"/>
        <v>185.3500597371565</v>
      </c>
      <c r="G38" s="492">
        <f t="shared" si="20"/>
        <v>190.05973715651135</v>
      </c>
      <c r="H38" s="492">
        <f t="shared" si="20"/>
        <v>218.40076544559867</v>
      </c>
      <c r="I38" s="492">
        <f t="shared" si="20"/>
        <v>199.59262672811062</v>
      </c>
      <c r="J38" s="492">
        <f t="shared" si="20"/>
        <v>185.97197250132206</v>
      </c>
      <c r="K38" s="492">
        <f t="shared" si="20"/>
        <v>237.1856906534326</v>
      </c>
      <c r="L38" s="492">
        <f t="shared" si="20"/>
        <v>265.76629361421988</v>
      </c>
      <c r="M38" s="492">
        <f t="shared" si="20"/>
        <v>241.95250896057348</v>
      </c>
      <c r="N38" s="492">
        <f t="shared" si="20"/>
        <v>227.20416994492527</v>
      </c>
      <c r="O38" s="492">
        <f t="shared" si="20"/>
        <v>206.05529953917051</v>
      </c>
      <c r="P38" s="492">
        <f t="shared" si="20"/>
        <v>215.33983495873969</v>
      </c>
      <c r="Q38" s="492">
        <f t="shared" si="20"/>
        <v>212.72113214846019</v>
      </c>
      <c r="R38" s="492">
        <v>214.21795097478324</v>
      </c>
      <c r="S38" s="493">
        <v>206.57355957486482</v>
      </c>
    </row>
    <row r="39" spans="1:19" s="438" customFormat="1">
      <c r="A39" s="594">
        <v>8</v>
      </c>
      <c r="B39" s="588" t="s">
        <v>46</v>
      </c>
      <c r="C39" s="595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64"/>
    </row>
    <row r="40" spans="1:19" s="438" customFormat="1">
      <c r="A40" s="611"/>
      <c r="B40" s="405" t="s">
        <v>47</v>
      </c>
      <c r="C40" s="590"/>
      <c r="D40" s="399">
        <v>5156</v>
      </c>
      <c r="E40" s="399">
        <v>1553</v>
      </c>
      <c r="F40" s="399">
        <v>8820</v>
      </c>
      <c r="G40" s="399">
        <v>16922</v>
      </c>
      <c r="H40" s="399">
        <v>3942</v>
      </c>
      <c r="I40" s="399">
        <v>9933</v>
      </c>
      <c r="J40" s="399">
        <v>4696</v>
      </c>
      <c r="K40" s="399">
        <v>3630</v>
      </c>
      <c r="L40" s="399">
        <v>58</v>
      </c>
      <c r="M40" s="399">
        <v>441</v>
      </c>
      <c r="N40" s="399">
        <v>0</v>
      </c>
      <c r="O40" s="399">
        <v>885</v>
      </c>
      <c r="P40" s="399">
        <v>1266</v>
      </c>
      <c r="Q40" s="388">
        <f>SUM(D40:P40)</f>
        <v>57302</v>
      </c>
      <c r="R40" s="388">
        <v>57572</v>
      </c>
      <c r="S40" s="456">
        <v>72135</v>
      </c>
    </row>
    <row r="41" spans="1:19" s="438" customFormat="1">
      <c r="A41" s="611"/>
      <c r="B41" s="405" t="s">
        <v>48</v>
      </c>
      <c r="C41" s="590"/>
      <c r="D41" s="399">
        <v>3156</v>
      </c>
      <c r="E41" s="399">
        <v>18538</v>
      </c>
      <c r="F41" s="399">
        <v>18164</v>
      </c>
      <c r="G41" s="399">
        <v>3506</v>
      </c>
      <c r="H41" s="399">
        <v>3506</v>
      </c>
      <c r="I41" s="399">
        <v>503</v>
      </c>
      <c r="J41" s="399">
        <v>5526</v>
      </c>
      <c r="K41" s="399">
        <v>4284</v>
      </c>
      <c r="L41" s="399">
        <v>9746</v>
      </c>
      <c r="M41" s="399">
        <v>9267</v>
      </c>
      <c r="N41" s="399">
        <v>0</v>
      </c>
      <c r="O41" s="399">
        <v>5619</v>
      </c>
      <c r="P41" s="399">
        <v>7815</v>
      </c>
      <c r="Q41" s="388">
        <f>SUM(D41:P41)</f>
        <v>89630</v>
      </c>
      <c r="R41" s="388">
        <v>81159</v>
      </c>
      <c r="S41" s="456">
        <v>54270</v>
      </c>
    </row>
    <row r="42" spans="1:19" s="438" customFormat="1" ht="25.5">
      <c r="A42" s="611"/>
      <c r="B42" s="405" t="s">
        <v>49</v>
      </c>
      <c r="C42" s="614"/>
      <c r="D42" s="615">
        <f t="shared" ref="D42:P42" si="21">SUM(D40:D41)</f>
        <v>8312</v>
      </c>
      <c r="E42" s="615">
        <f t="shared" si="21"/>
        <v>20091</v>
      </c>
      <c r="F42" s="615">
        <f t="shared" si="21"/>
        <v>26984</v>
      </c>
      <c r="G42" s="615">
        <f t="shared" si="21"/>
        <v>20428</v>
      </c>
      <c r="H42" s="615">
        <f t="shared" si="21"/>
        <v>7448</v>
      </c>
      <c r="I42" s="615">
        <f>SUM(I40:I41)</f>
        <v>10436</v>
      </c>
      <c r="J42" s="615">
        <f>SUM(J40:J41)</f>
        <v>10222</v>
      </c>
      <c r="K42" s="615">
        <f t="shared" si="21"/>
        <v>7914</v>
      </c>
      <c r="L42" s="615">
        <f t="shared" si="21"/>
        <v>9804</v>
      </c>
      <c r="M42" s="615">
        <f>SUM(M40:M41)</f>
        <v>9708</v>
      </c>
      <c r="N42" s="615">
        <f t="shared" si="21"/>
        <v>0</v>
      </c>
      <c r="O42" s="615">
        <f t="shared" si="21"/>
        <v>6504</v>
      </c>
      <c r="P42" s="615">
        <f t="shared" si="21"/>
        <v>9081</v>
      </c>
      <c r="Q42" s="490">
        <f>SUM(D42:P42)</f>
        <v>146932</v>
      </c>
      <c r="R42" s="490">
        <v>138731</v>
      </c>
      <c r="S42" s="491">
        <v>126405</v>
      </c>
    </row>
    <row r="43" spans="1:19" s="438" customFormat="1">
      <c r="A43" s="404"/>
      <c r="B43" s="405" t="s">
        <v>50</v>
      </c>
      <c r="C43" s="590"/>
      <c r="D43" s="401">
        <f t="shared" ref="D43:P43" si="22">ROUND((D40)/$C5,0)</f>
        <v>166</v>
      </c>
      <c r="E43" s="401">
        <f t="shared" si="22"/>
        <v>50</v>
      </c>
      <c r="F43" s="401">
        <f t="shared" si="22"/>
        <v>285</v>
      </c>
      <c r="G43" s="401">
        <f t="shared" si="22"/>
        <v>546</v>
      </c>
      <c r="H43" s="401">
        <f t="shared" si="22"/>
        <v>127</v>
      </c>
      <c r="I43" s="401">
        <f t="shared" si="22"/>
        <v>320</v>
      </c>
      <c r="J43" s="401">
        <f t="shared" si="22"/>
        <v>151</v>
      </c>
      <c r="K43" s="401">
        <f t="shared" si="22"/>
        <v>117</v>
      </c>
      <c r="L43" s="401">
        <f t="shared" si="22"/>
        <v>2</v>
      </c>
      <c r="M43" s="401">
        <f t="shared" si="22"/>
        <v>14</v>
      </c>
      <c r="N43" s="401">
        <f t="shared" si="22"/>
        <v>0</v>
      </c>
      <c r="O43" s="401">
        <f t="shared" si="22"/>
        <v>29</v>
      </c>
      <c r="P43" s="401">
        <f t="shared" si="22"/>
        <v>41</v>
      </c>
      <c r="Q43" s="388">
        <f>Q40/C5</f>
        <v>1848.4516129032259</v>
      </c>
      <c r="R43" s="388">
        <v>1857.1612903225807</v>
      </c>
      <c r="S43" s="456">
        <v>2326.9354838709678</v>
      </c>
    </row>
    <row r="44" spans="1:19" s="438" customFormat="1">
      <c r="A44" s="404"/>
      <c r="B44" s="405" t="s">
        <v>51</v>
      </c>
      <c r="C44" s="590"/>
      <c r="D44" s="388">
        <f>SUM(D41/C5)</f>
        <v>101.80645161290323</v>
      </c>
      <c r="E44" s="388">
        <f>SUM(E41/C5)</f>
        <v>598</v>
      </c>
      <c r="F44" s="388">
        <f>SUM(F41/C5)</f>
        <v>585.93548387096769</v>
      </c>
      <c r="G44" s="388">
        <f>SUM(G41/C5)</f>
        <v>113.09677419354838</v>
      </c>
      <c r="H44" s="388">
        <f>SUM(H41/C5)</f>
        <v>113.09677419354838</v>
      </c>
      <c r="I44" s="388">
        <f>SUM(I41/C5)</f>
        <v>16.225806451612904</v>
      </c>
      <c r="J44" s="388">
        <f>SUM(J41/C5)</f>
        <v>178.25806451612902</v>
      </c>
      <c r="K44" s="388">
        <f>SUM(K41/C5)</f>
        <v>138.19354838709677</v>
      </c>
      <c r="L44" s="388">
        <f>SUM(L41/C5)</f>
        <v>314.38709677419354</v>
      </c>
      <c r="M44" s="388">
        <f>SUM(M41/C5)</f>
        <v>298.93548387096774</v>
      </c>
      <c r="N44" s="388">
        <f>SUM(N41/C5)</f>
        <v>0</v>
      </c>
      <c r="O44" s="388">
        <f>SUM(O41/C5)</f>
        <v>181.25806451612902</v>
      </c>
      <c r="P44" s="388">
        <f>SUM(P41/C5)</f>
        <v>252.09677419354838</v>
      </c>
      <c r="Q44" s="388">
        <f>Q41/C5</f>
        <v>2891.2903225806454</v>
      </c>
      <c r="R44" s="388">
        <v>2618.0322580645161</v>
      </c>
      <c r="S44" s="456">
        <v>1750.6451612903227</v>
      </c>
    </row>
    <row r="45" spans="1:19" s="438" customFormat="1" ht="25.5">
      <c r="A45" s="404"/>
      <c r="B45" s="405" t="s">
        <v>52</v>
      </c>
      <c r="C45" s="590"/>
      <c r="D45" s="388">
        <f t="shared" ref="D45:P45" si="23">SUM(D43:D44)</f>
        <v>267.80645161290323</v>
      </c>
      <c r="E45" s="388">
        <f t="shared" si="23"/>
        <v>648</v>
      </c>
      <c r="F45" s="388">
        <f t="shared" si="23"/>
        <v>870.93548387096769</v>
      </c>
      <c r="G45" s="388">
        <f t="shared" si="23"/>
        <v>659.09677419354841</v>
      </c>
      <c r="H45" s="388">
        <f t="shared" si="23"/>
        <v>240.09677419354838</v>
      </c>
      <c r="I45" s="388">
        <f>SUM(I43:I44)</f>
        <v>336.22580645161293</v>
      </c>
      <c r="J45" s="388">
        <f>SUM(J43:J44)</f>
        <v>329.25806451612902</v>
      </c>
      <c r="K45" s="388">
        <f t="shared" si="23"/>
        <v>255.19354838709677</v>
      </c>
      <c r="L45" s="388">
        <f t="shared" si="23"/>
        <v>316.38709677419354</v>
      </c>
      <c r="M45" s="388">
        <f>SUM(M43:M44)</f>
        <v>312.93548387096774</v>
      </c>
      <c r="N45" s="388">
        <f t="shared" si="23"/>
        <v>0</v>
      </c>
      <c r="O45" s="388">
        <f t="shared" si="23"/>
        <v>210.25806451612902</v>
      </c>
      <c r="P45" s="388">
        <f t="shared" si="23"/>
        <v>293.09677419354841</v>
      </c>
      <c r="Q45" s="388">
        <f>Q42/C5</f>
        <v>4739.7419354838712</v>
      </c>
      <c r="R45" s="388">
        <v>4475.1935483870966</v>
      </c>
      <c r="S45" s="456">
        <v>4077.5806451612902</v>
      </c>
    </row>
    <row r="46" spans="1:19" s="438" customFormat="1">
      <c r="A46" s="404"/>
      <c r="B46" s="405" t="s">
        <v>53</v>
      </c>
      <c r="C46" s="590"/>
      <c r="D46" s="399">
        <v>16403</v>
      </c>
      <c r="E46" s="399">
        <v>17236</v>
      </c>
      <c r="F46" s="399">
        <v>15435</v>
      </c>
      <c r="G46" s="399">
        <v>13423</v>
      </c>
      <c r="H46" s="399">
        <v>7316</v>
      </c>
      <c r="I46" s="399">
        <v>6696</v>
      </c>
      <c r="J46" s="399">
        <v>2255</v>
      </c>
      <c r="K46" s="399">
        <v>4774</v>
      </c>
      <c r="L46" s="399">
        <v>3808</v>
      </c>
      <c r="M46" s="399">
        <v>7823</v>
      </c>
      <c r="N46" s="399">
        <v>0</v>
      </c>
      <c r="O46" s="399">
        <v>1851</v>
      </c>
      <c r="P46" s="399">
        <v>2328</v>
      </c>
      <c r="Q46" s="494">
        <f>SUM(D46:P46)</f>
        <v>99348</v>
      </c>
      <c r="R46" s="494">
        <v>99272</v>
      </c>
      <c r="S46" s="495">
        <v>102494</v>
      </c>
    </row>
    <row r="47" spans="1:19" s="438" customFormat="1">
      <c r="A47" s="616"/>
      <c r="B47" s="617" t="s">
        <v>54</v>
      </c>
      <c r="C47" s="618"/>
      <c r="D47" s="619">
        <f t="shared" ref="D47:P47" si="24">ROUND((D46)/$C5,0)</f>
        <v>529</v>
      </c>
      <c r="E47" s="619">
        <f t="shared" si="24"/>
        <v>556</v>
      </c>
      <c r="F47" s="619">
        <f t="shared" si="24"/>
        <v>498</v>
      </c>
      <c r="G47" s="619">
        <f t="shared" si="24"/>
        <v>433</v>
      </c>
      <c r="H47" s="619">
        <f t="shared" si="24"/>
        <v>236</v>
      </c>
      <c r="I47" s="619">
        <f t="shared" si="24"/>
        <v>216</v>
      </c>
      <c r="J47" s="619">
        <f t="shared" si="24"/>
        <v>73</v>
      </c>
      <c r="K47" s="619">
        <f t="shared" si="24"/>
        <v>154</v>
      </c>
      <c r="L47" s="619">
        <f t="shared" si="24"/>
        <v>123</v>
      </c>
      <c r="M47" s="619">
        <f t="shared" si="24"/>
        <v>252</v>
      </c>
      <c r="N47" s="619">
        <f t="shared" si="24"/>
        <v>0</v>
      </c>
      <c r="O47" s="619">
        <f t="shared" si="24"/>
        <v>60</v>
      </c>
      <c r="P47" s="619">
        <f t="shared" si="24"/>
        <v>75</v>
      </c>
      <c r="Q47" s="475">
        <f>Q46/C5</f>
        <v>3204.7741935483873</v>
      </c>
      <c r="R47" s="475">
        <v>3202.3225806451615</v>
      </c>
      <c r="S47" s="476">
        <v>3306.2580645161293</v>
      </c>
    </row>
    <row r="48" spans="1:19">
      <c r="A48" s="620">
        <v>9</v>
      </c>
      <c r="B48" s="621" t="s">
        <v>173</v>
      </c>
      <c r="C48" s="622"/>
      <c r="D48" s="399">
        <v>435413</v>
      </c>
      <c r="E48" s="399">
        <v>55470</v>
      </c>
      <c r="F48" s="399">
        <v>372888</v>
      </c>
      <c r="G48" s="399">
        <f>374574+6207</f>
        <v>380781</v>
      </c>
      <c r="H48" s="399">
        <v>397022</v>
      </c>
      <c r="I48" s="399">
        <v>262961</v>
      </c>
      <c r="J48" s="399">
        <v>419309</v>
      </c>
      <c r="K48" s="399">
        <v>242341</v>
      </c>
      <c r="L48" s="399">
        <v>11392</v>
      </c>
      <c r="M48" s="399">
        <v>90313</v>
      </c>
      <c r="N48" s="399">
        <v>0</v>
      </c>
      <c r="O48" s="399">
        <v>47340</v>
      </c>
      <c r="P48" s="399">
        <v>65978</v>
      </c>
      <c r="Q48" s="463">
        <f>SUM(D48:P48)</f>
        <v>2781208</v>
      </c>
      <c r="R48" s="463">
        <v>2699337</v>
      </c>
      <c r="S48" s="464">
        <v>4166937</v>
      </c>
    </row>
    <row r="49" spans="1:19">
      <c r="A49" s="404"/>
      <c r="B49" s="588" t="s">
        <v>56</v>
      </c>
      <c r="C49" s="590"/>
      <c r="D49" s="399">
        <v>326424</v>
      </c>
      <c r="E49" s="399">
        <v>845796</v>
      </c>
      <c r="F49" s="399">
        <v>401728</v>
      </c>
      <c r="G49" s="399">
        <v>262830</v>
      </c>
      <c r="H49" s="399">
        <v>360659</v>
      </c>
      <c r="I49" s="399">
        <v>139323</v>
      </c>
      <c r="J49" s="399">
        <v>131704</v>
      </c>
      <c r="K49" s="399">
        <v>239457</v>
      </c>
      <c r="L49" s="399">
        <v>373983</v>
      </c>
      <c r="M49" s="399">
        <v>615128</v>
      </c>
      <c r="N49" s="399">
        <v>0</v>
      </c>
      <c r="O49" s="399">
        <v>335949</v>
      </c>
      <c r="P49" s="399">
        <v>232479</v>
      </c>
      <c r="Q49" s="388">
        <f>SUM(D49:P49)</f>
        <v>4265460</v>
      </c>
      <c r="R49" s="388">
        <v>4200774</v>
      </c>
      <c r="S49" s="456">
        <v>2282616</v>
      </c>
    </row>
    <row r="50" spans="1:19" s="473" customFormat="1" ht="25.5">
      <c r="A50" s="623"/>
      <c r="B50" s="624" t="s">
        <v>187</v>
      </c>
      <c r="C50" s="606"/>
      <c r="D50" s="625">
        <f t="shared" ref="D50:P50" si="25">SUM(D48:D49)</f>
        <v>761837</v>
      </c>
      <c r="E50" s="625">
        <f t="shared" si="25"/>
        <v>901266</v>
      </c>
      <c r="F50" s="625">
        <f t="shared" si="25"/>
        <v>774616</v>
      </c>
      <c r="G50" s="625">
        <f t="shared" si="25"/>
        <v>643611</v>
      </c>
      <c r="H50" s="625">
        <f t="shared" si="25"/>
        <v>757681</v>
      </c>
      <c r="I50" s="625">
        <f>SUM(I48:I49)</f>
        <v>402284</v>
      </c>
      <c r="J50" s="625">
        <f>SUM(J48:J49)</f>
        <v>551013</v>
      </c>
      <c r="K50" s="625">
        <f t="shared" si="25"/>
        <v>481798</v>
      </c>
      <c r="L50" s="625">
        <f t="shared" si="25"/>
        <v>385375</v>
      </c>
      <c r="M50" s="625">
        <f>SUM(M48:M49)</f>
        <v>705441</v>
      </c>
      <c r="N50" s="625">
        <f t="shared" si="25"/>
        <v>0</v>
      </c>
      <c r="O50" s="625">
        <f t="shared" si="25"/>
        <v>383289</v>
      </c>
      <c r="P50" s="625">
        <f t="shared" si="25"/>
        <v>298457</v>
      </c>
      <c r="Q50" s="504">
        <f>SUM(D50:P50)</f>
        <v>7046668</v>
      </c>
      <c r="R50" s="504">
        <v>6900111</v>
      </c>
      <c r="S50" s="505">
        <v>6449553</v>
      </c>
    </row>
    <row r="51" spans="1:19" ht="25.5">
      <c r="A51" s="594"/>
      <c r="B51" s="588" t="s">
        <v>58</v>
      </c>
      <c r="C51" s="595"/>
      <c r="D51" s="463">
        <f>SUM(D48/C5)</f>
        <v>14045.58064516129</v>
      </c>
      <c r="E51" s="463">
        <f>SUM(E48/C5)</f>
        <v>1789.3548387096773</v>
      </c>
      <c r="F51" s="463">
        <f>SUM(F48/C5)</f>
        <v>12028.645161290322</v>
      </c>
      <c r="G51" s="463">
        <f>SUM(G48/C5)</f>
        <v>12283.258064516129</v>
      </c>
      <c r="H51" s="463">
        <f>SUM(H48/C5)</f>
        <v>12807.161290322581</v>
      </c>
      <c r="I51" s="463">
        <f>SUM(I48/C5)</f>
        <v>8482.6129032258068</v>
      </c>
      <c r="J51" s="463">
        <f>SUM(J48/C5)</f>
        <v>13526.096774193549</v>
      </c>
      <c r="K51" s="463">
        <f>SUM(K48/C5)</f>
        <v>7817.4516129032254</v>
      </c>
      <c r="L51" s="463">
        <f>SUM(L48/C5)</f>
        <v>367.48387096774195</v>
      </c>
      <c r="M51" s="463">
        <f>SUM(M48/C5)</f>
        <v>2913.3225806451615</v>
      </c>
      <c r="N51" s="463">
        <f>SUM(N48/C5)</f>
        <v>0</v>
      </c>
      <c r="O51" s="463">
        <f>SUM(O48/C5)</f>
        <v>1527.0967741935483</v>
      </c>
      <c r="P51" s="463">
        <f>SUM(P48/C5)</f>
        <v>2128.3225806451615</v>
      </c>
      <c r="Q51" s="463">
        <f>Q48/C5</f>
        <v>89716.387096774197</v>
      </c>
      <c r="R51" s="463">
        <v>87075.387096774197</v>
      </c>
      <c r="S51" s="464">
        <v>134417.32258064515</v>
      </c>
    </row>
    <row r="52" spans="1:19" ht="25.5">
      <c r="A52" s="404"/>
      <c r="B52" s="588" t="s">
        <v>59</v>
      </c>
      <c r="C52" s="590"/>
      <c r="D52" s="388">
        <f>SUM(D49/C5)</f>
        <v>10529.806451612903</v>
      </c>
      <c r="E52" s="388">
        <f>SUM(E49/C5)</f>
        <v>27283.741935483871</v>
      </c>
      <c r="F52" s="388">
        <f>SUM(F49/C5)</f>
        <v>12958.967741935483</v>
      </c>
      <c r="G52" s="388">
        <f>SUM(G49/C5)</f>
        <v>8478.3870967741932</v>
      </c>
      <c r="H52" s="388">
        <f>SUM(H49/C5)</f>
        <v>11634.161290322581</v>
      </c>
      <c r="I52" s="388">
        <f>SUM(I49/C5)</f>
        <v>4494.2903225806449</v>
      </c>
      <c r="J52" s="388">
        <f>SUM(J49/C5)</f>
        <v>4248.5161290322585</v>
      </c>
      <c r="K52" s="388">
        <f>SUM(K49/C5)</f>
        <v>7724.4193548387093</v>
      </c>
      <c r="L52" s="388">
        <f>SUM(L49/C5)</f>
        <v>12063.967741935483</v>
      </c>
      <c r="M52" s="388">
        <f>SUM(M49/C5)</f>
        <v>19842.83870967742</v>
      </c>
      <c r="N52" s="388">
        <f>SUM(N49/C5)</f>
        <v>0</v>
      </c>
      <c r="O52" s="388">
        <f>SUM(O49/C5)</f>
        <v>10837.064516129032</v>
      </c>
      <c r="P52" s="388">
        <f>SUM(P49/C5)</f>
        <v>7499.322580645161</v>
      </c>
      <c r="Q52" s="388">
        <f>Q49/C5</f>
        <v>137595.48387096773</v>
      </c>
      <c r="R52" s="388">
        <v>135508.83870967742</v>
      </c>
      <c r="S52" s="456">
        <v>73632.774193548394</v>
      </c>
    </row>
    <row r="53" spans="1:19">
      <c r="A53" s="598"/>
      <c r="B53" s="599" t="s">
        <v>60</v>
      </c>
      <c r="C53" s="600"/>
      <c r="D53" s="475">
        <f t="shared" ref="D53:P53" si="26">SUM(D51:D52)</f>
        <v>24575.387096774193</v>
      </c>
      <c r="E53" s="475">
        <f t="shared" si="26"/>
        <v>29073.096774193549</v>
      </c>
      <c r="F53" s="475">
        <f t="shared" si="26"/>
        <v>24987.612903225803</v>
      </c>
      <c r="G53" s="475">
        <f t="shared" si="26"/>
        <v>20761.645161290322</v>
      </c>
      <c r="H53" s="475">
        <f t="shared" si="26"/>
        <v>24441.322580645163</v>
      </c>
      <c r="I53" s="475">
        <f>SUM(I51:I52)</f>
        <v>12976.903225806451</v>
      </c>
      <c r="J53" s="475">
        <f>SUM(J51:J52)</f>
        <v>17774.612903225807</v>
      </c>
      <c r="K53" s="475">
        <f t="shared" si="26"/>
        <v>15541.870967741936</v>
      </c>
      <c r="L53" s="475">
        <f t="shared" si="26"/>
        <v>12431.451612903225</v>
      </c>
      <c r="M53" s="475">
        <f>SUM(M51:M52)</f>
        <v>22756.161290322583</v>
      </c>
      <c r="N53" s="475">
        <f t="shared" si="26"/>
        <v>0</v>
      </c>
      <c r="O53" s="475">
        <f t="shared" si="26"/>
        <v>12364.16129032258</v>
      </c>
      <c r="P53" s="475">
        <f t="shared" si="26"/>
        <v>9627.645161290322</v>
      </c>
      <c r="Q53" s="475">
        <f>Q50/C5</f>
        <v>227311.87096774194</v>
      </c>
      <c r="R53" s="475">
        <v>222584.22580645161</v>
      </c>
      <c r="S53" s="476">
        <v>208050.09677419355</v>
      </c>
    </row>
    <row r="54" spans="1:19" s="452" customFormat="1">
      <c r="A54" s="612">
        <v>10</v>
      </c>
      <c r="B54" s="613" t="s">
        <v>61</v>
      </c>
      <c r="C54" s="626"/>
      <c r="D54" s="463">
        <f t="shared" ref="D54:Q54" si="27">D29-D36</f>
        <v>206141</v>
      </c>
      <c r="E54" s="463">
        <f t="shared" si="27"/>
        <v>281804</v>
      </c>
      <c r="F54" s="463">
        <f t="shared" si="27"/>
        <v>178103</v>
      </c>
      <c r="G54" s="463">
        <f t="shared" si="27"/>
        <v>147653</v>
      </c>
      <c r="H54" s="463">
        <f t="shared" si="27"/>
        <v>143270</v>
      </c>
      <c r="I54" s="463">
        <f t="shared" si="27"/>
        <v>53987</v>
      </c>
      <c r="J54" s="463">
        <f t="shared" si="27"/>
        <v>83329</v>
      </c>
      <c r="K54" s="463">
        <f t="shared" si="27"/>
        <v>275160</v>
      </c>
      <c r="L54" s="463">
        <f t="shared" si="27"/>
        <v>33545</v>
      </c>
      <c r="M54" s="463">
        <f t="shared" si="27"/>
        <v>137774</v>
      </c>
      <c r="N54" s="463">
        <f t="shared" si="27"/>
        <v>68019</v>
      </c>
      <c r="O54" s="463">
        <f t="shared" si="27"/>
        <v>60082</v>
      </c>
      <c r="P54" s="463">
        <f t="shared" si="27"/>
        <v>1438</v>
      </c>
      <c r="Q54" s="463">
        <f t="shared" si="27"/>
        <v>1670305</v>
      </c>
      <c r="R54" s="463">
        <v>1839861.9000000004</v>
      </c>
      <c r="S54" s="464">
        <v>3085139.9500000011</v>
      </c>
    </row>
    <row r="55" spans="1:19">
      <c r="A55" s="598"/>
      <c r="B55" s="599" t="s">
        <v>62</v>
      </c>
      <c r="C55" s="600"/>
      <c r="D55" s="475">
        <f>SUM(D54/C5)</f>
        <v>6649.7096774193551</v>
      </c>
      <c r="E55" s="475">
        <f>SUM(E54/C5)</f>
        <v>9090.4516129032254</v>
      </c>
      <c r="F55" s="475">
        <f>SUM(F54/C5)</f>
        <v>5745.2580645161288</v>
      </c>
      <c r="G55" s="475">
        <f>SUM(G54/C5)</f>
        <v>4763</v>
      </c>
      <c r="H55" s="475">
        <f>SUM(H54/C5)</f>
        <v>4621.6129032258068</v>
      </c>
      <c r="I55" s="475">
        <f>SUM(I54/C5)</f>
        <v>1741.516129032258</v>
      </c>
      <c r="J55" s="475">
        <f>SUM(J54/C5)</f>
        <v>2688.0322580645161</v>
      </c>
      <c r="K55" s="475">
        <f>SUM(K54/C5)</f>
        <v>8876.1290322580644</v>
      </c>
      <c r="L55" s="475">
        <f>SUM(L54/C5)</f>
        <v>1082.0967741935483</v>
      </c>
      <c r="M55" s="475">
        <f>SUM(M54/C5)</f>
        <v>4444.322580645161</v>
      </c>
      <c r="N55" s="475">
        <f>SUM(N54/C5)</f>
        <v>2194.1612903225805</v>
      </c>
      <c r="O55" s="475">
        <f>SUM(O54/C5)</f>
        <v>1938.1290322580646</v>
      </c>
      <c r="P55" s="475">
        <f>SUM(P54/C5)</f>
        <v>46.387096774193552</v>
      </c>
      <c r="Q55" s="475">
        <f>SUM(Q54/C5)</f>
        <v>53880.806451612902</v>
      </c>
      <c r="R55" s="475">
        <v>59350.383870967751</v>
      </c>
      <c r="S55" s="476">
        <v>99520.643548387132</v>
      </c>
    </row>
    <row r="56" spans="1:19" s="435" customFormat="1" ht="25.5">
      <c r="A56" s="587">
        <v>11</v>
      </c>
      <c r="B56" s="588" t="s">
        <v>63</v>
      </c>
      <c r="C56" s="596"/>
      <c r="D56" s="399">
        <v>31807639</v>
      </c>
      <c r="E56" s="399">
        <v>44230699</v>
      </c>
      <c r="F56" s="399">
        <v>34625736</v>
      </c>
      <c r="G56" s="399">
        <v>53133111</v>
      </c>
      <c r="H56" s="399">
        <v>31728305</v>
      </c>
      <c r="I56" s="399">
        <v>18770658</v>
      </c>
      <c r="J56" s="399">
        <v>29910201</v>
      </c>
      <c r="K56" s="399">
        <v>37741295</v>
      </c>
      <c r="L56" s="399">
        <v>28786810</v>
      </c>
      <c r="M56" s="399">
        <v>25648475</v>
      </c>
      <c r="N56" s="399">
        <v>24876805</v>
      </c>
      <c r="O56" s="399">
        <v>16102332</v>
      </c>
      <c r="P56" s="399">
        <v>10441460</v>
      </c>
      <c r="Q56" s="507">
        <f>SUM(D56:P56)</f>
        <v>387803526</v>
      </c>
      <c r="R56" s="507">
        <v>379572151</v>
      </c>
      <c r="S56" s="508">
        <v>346866894</v>
      </c>
    </row>
    <row r="57" spans="1:19" s="438" customFormat="1">
      <c r="A57" s="404"/>
      <c r="B57" s="405" t="s">
        <v>64</v>
      </c>
      <c r="C57" s="590"/>
      <c r="D57" s="400">
        <f t="shared" ref="D57:P57" si="28">ROUND((D56)/$C5,0)</f>
        <v>1026053</v>
      </c>
      <c r="E57" s="400">
        <f t="shared" si="28"/>
        <v>1426797</v>
      </c>
      <c r="F57" s="400">
        <f t="shared" si="28"/>
        <v>1116959</v>
      </c>
      <c r="G57" s="400">
        <f t="shared" si="28"/>
        <v>1713971</v>
      </c>
      <c r="H57" s="400">
        <f t="shared" si="28"/>
        <v>1023494</v>
      </c>
      <c r="I57" s="400">
        <f t="shared" si="28"/>
        <v>605505</v>
      </c>
      <c r="J57" s="400">
        <f t="shared" si="28"/>
        <v>964845</v>
      </c>
      <c r="K57" s="400">
        <f t="shared" si="28"/>
        <v>1217461</v>
      </c>
      <c r="L57" s="400">
        <f t="shared" si="28"/>
        <v>928607</v>
      </c>
      <c r="M57" s="400">
        <f t="shared" si="28"/>
        <v>827370</v>
      </c>
      <c r="N57" s="400">
        <f t="shared" si="28"/>
        <v>802478</v>
      </c>
      <c r="O57" s="400">
        <f t="shared" si="28"/>
        <v>519430</v>
      </c>
      <c r="P57" s="400">
        <f t="shared" si="28"/>
        <v>336821</v>
      </c>
      <c r="Q57" s="463">
        <f>SUM(D57:P57)</f>
        <v>12509791</v>
      </c>
      <c r="R57" s="463">
        <v>12244264</v>
      </c>
      <c r="S57" s="464">
        <v>11189254.64516129</v>
      </c>
    </row>
    <row r="58" spans="1:19" s="435" customFormat="1">
      <c r="A58" s="627"/>
      <c r="B58" s="602" t="s">
        <v>65</v>
      </c>
      <c r="C58" s="628"/>
      <c r="D58" s="511">
        <f>SUM(D57/D67)</f>
        <v>13.847080078273796</v>
      </c>
      <c r="E58" s="511">
        <f t="shared" ref="E58:Q58" si="29">SUM(E57/E67)</f>
        <v>14.975859557597902</v>
      </c>
      <c r="F58" s="511">
        <f t="shared" si="29"/>
        <v>12.971061188405146</v>
      </c>
      <c r="G58" s="511">
        <f t="shared" si="29"/>
        <v>13.024114899668938</v>
      </c>
      <c r="H58" s="511">
        <f t="shared" si="29"/>
        <v>13.326022741543323</v>
      </c>
      <c r="I58" s="511">
        <f>SUM(I57/I67)</f>
        <v>12.318925659157657</v>
      </c>
      <c r="J58" s="511">
        <f>SUM(J57/J67)</f>
        <v>13.290673260859423</v>
      </c>
      <c r="K58" s="511">
        <f t="shared" si="29"/>
        <v>14.872940410572115</v>
      </c>
      <c r="L58" s="511">
        <f t="shared" si="29"/>
        <v>16.123852609787626</v>
      </c>
      <c r="M58" s="511">
        <f>SUM(M57/M67)</f>
        <v>14.309608094197985</v>
      </c>
      <c r="N58" s="511">
        <f t="shared" si="29"/>
        <v>14.567781642715763</v>
      </c>
      <c r="O58" s="511">
        <f t="shared" si="29"/>
        <v>13.307853720742456</v>
      </c>
      <c r="P58" s="511">
        <f t="shared" si="29"/>
        <v>13.502824982962165</v>
      </c>
      <c r="Q58" s="511">
        <f t="shared" si="29"/>
        <v>13.86946225707605</v>
      </c>
      <c r="R58" s="511">
        <v>14.01360556473948</v>
      </c>
      <c r="S58" s="512">
        <v>13.96404115489818</v>
      </c>
    </row>
    <row r="59" spans="1:19" s="438" customFormat="1" ht="25.5">
      <c r="A59" s="616"/>
      <c r="B59" s="617" t="s">
        <v>66</v>
      </c>
      <c r="C59" s="618"/>
      <c r="D59" s="513">
        <f t="shared" ref="D59:Q59" si="30">SUM(D57/D17)</f>
        <v>7714.6842105263158</v>
      </c>
      <c r="E59" s="513">
        <f t="shared" si="30"/>
        <v>7754.33152173913</v>
      </c>
      <c r="F59" s="513">
        <f t="shared" si="30"/>
        <v>8273.7703703703701</v>
      </c>
      <c r="G59" s="513">
        <f t="shared" si="30"/>
        <v>9068.6296296296296</v>
      </c>
      <c r="H59" s="513">
        <f t="shared" si="30"/>
        <v>8673.6779661016953</v>
      </c>
      <c r="I59" s="513">
        <f t="shared" si="30"/>
        <v>8650.0714285714294</v>
      </c>
      <c r="J59" s="513">
        <f t="shared" si="30"/>
        <v>7908.5655737704919</v>
      </c>
      <c r="K59" s="513">
        <f t="shared" si="30"/>
        <v>7804.2371794871797</v>
      </c>
      <c r="L59" s="513">
        <f t="shared" si="30"/>
        <v>9475.5816326530621</v>
      </c>
      <c r="M59" s="513">
        <f t="shared" si="30"/>
        <v>7660.833333333333</v>
      </c>
      <c r="N59" s="513">
        <f t="shared" si="30"/>
        <v>9786.3170731707323</v>
      </c>
      <c r="O59" s="513">
        <f t="shared" si="30"/>
        <v>8244.9206349206343</v>
      </c>
      <c r="P59" s="513">
        <f t="shared" si="30"/>
        <v>7833.0465116279074</v>
      </c>
      <c r="Q59" s="513">
        <f t="shared" si="30"/>
        <v>8334.3044636908726</v>
      </c>
      <c r="R59" s="513">
        <v>8352.1582537517061</v>
      </c>
      <c r="S59" s="514">
        <v>8084.7215644228972</v>
      </c>
    </row>
    <row r="60" spans="1:19" s="438" customFormat="1" ht="15" thickBot="1">
      <c r="A60" s="629">
        <v>12</v>
      </c>
      <c r="B60" s="630" t="s">
        <v>67</v>
      </c>
      <c r="C60" s="631"/>
      <c r="D60" s="518">
        <f t="shared" ref="D60:Q60" si="31">SUM(D56)/D36</f>
        <v>38.138015668801721</v>
      </c>
      <c r="E60" s="518">
        <f t="shared" si="31"/>
        <v>36.615453579904951</v>
      </c>
      <c r="F60" s="518">
        <f t="shared" si="31"/>
        <v>44.638626255333961</v>
      </c>
      <c r="G60" s="518">
        <f t="shared" si="31"/>
        <v>47.714636840403749</v>
      </c>
      <c r="H60" s="518">
        <f t="shared" si="31"/>
        <v>39.714492245684745</v>
      </c>
      <c r="I60" s="518">
        <f t="shared" si="31"/>
        <v>43.338639071288064</v>
      </c>
      <c r="J60" s="518">
        <f t="shared" si="31"/>
        <v>42.525586269062451</v>
      </c>
      <c r="K60" s="518">
        <f t="shared" si="31"/>
        <v>32.903494241650172</v>
      </c>
      <c r="L60" s="518">
        <f t="shared" si="31"/>
        <v>35.653803947990951</v>
      </c>
      <c r="M60" s="518">
        <f t="shared" si="31"/>
        <v>31.662555844835609</v>
      </c>
      <c r="N60" s="518">
        <f t="shared" si="31"/>
        <v>43.072765616315735</v>
      </c>
      <c r="O60" s="518">
        <f t="shared" si="31"/>
        <v>40.013150243771527</v>
      </c>
      <c r="P60" s="518">
        <f t="shared" si="31"/>
        <v>36.375310052674116</v>
      </c>
      <c r="Q60" s="518">
        <f t="shared" si="31"/>
        <v>39.179485775440142</v>
      </c>
      <c r="R60" s="518">
        <v>38.989064593369996</v>
      </c>
      <c r="S60" s="519">
        <v>39.137252517028415</v>
      </c>
    </row>
    <row r="61" spans="1:19" s="435" customFormat="1" ht="15" thickTop="1">
      <c r="A61" s="587">
        <v>13</v>
      </c>
      <c r="B61" s="588" t="s">
        <v>68</v>
      </c>
      <c r="C61" s="596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449"/>
    </row>
    <row r="62" spans="1:19" s="438" customFormat="1">
      <c r="A62" s="404"/>
      <c r="B62" s="405" t="s">
        <v>69</v>
      </c>
      <c r="C62" s="590"/>
      <c r="D62" s="520">
        <f>SUM(D60)/67.29*100</f>
        <v>56.677092686583016</v>
      </c>
      <c r="E62" s="520">
        <f t="shared" ref="E62:Q62" si="32">SUM(E60)/67.29*100</f>
        <v>54.414405676779531</v>
      </c>
      <c r="F62" s="520">
        <f t="shared" si="32"/>
        <v>66.337682055779396</v>
      </c>
      <c r="G62" s="520">
        <f t="shared" si="32"/>
        <v>70.908956517170068</v>
      </c>
      <c r="H62" s="520">
        <f t="shared" si="32"/>
        <v>59.019902282188653</v>
      </c>
      <c r="I62" s="520">
        <f t="shared" si="32"/>
        <v>64.405764706922369</v>
      </c>
      <c r="J62" s="520">
        <f t="shared" si="32"/>
        <v>63.197482938122228</v>
      </c>
      <c r="K62" s="520">
        <f t="shared" si="32"/>
        <v>48.898044645044095</v>
      </c>
      <c r="L62" s="520">
        <f t="shared" si="32"/>
        <v>52.985293428430595</v>
      </c>
      <c r="M62" s="520">
        <f t="shared" si="32"/>
        <v>47.053879989352957</v>
      </c>
      <c r="N62" s="520">
        <f t="shared" si="32"/>
        <v>64.01064885765453</v>
      </c>
      <c r="O62" s="520">
        <f t="shared" si="32"/>
        <v>59.463739402246283</v>
      </c>
      <c r="P62" s="520">
        <f t="shared" si="32"/>
        <v>54.057527199694036</v>
      </c>
      <c r="Q62" s="520">
        <f t="shared" si="32"/>
        <v>58.224826535057417</v>
      </c>
      <c r="R62" s="520">
        <v>57.916019895083181</v>
      </c>
      <c r="S62" s="521">
        <v>55.958325017198199</v>
      </c>
    </row>
    <row r="63" spans="1:19" s="444" customFormat="1" ht="60">
      <c r="A63" s="612"/>
      <c r="B63" s="632" t="s">
        <v>176</v>
      </c>
      <c r="C63" s="614"/>
      <c r="D63" s="523">
        <f>D131/67.29*100</f>
        <v>71.229008768019014</v>
      </c>
      <c r="E63" s="523">
        <f t="shared" ref="E63:P63" si="33">E131/67.29*100</f>
        <v>70.545400505275666</v>
      </c>
      <c r="F63" s="523">
        <f t="shared" si="33"/>
        <v>79.952444642591757</v>
      </c>
      <c r="G63" s="523">
        <f t="shared" si="33"/>
        <v>84.82686877693564</v>
      </c>
      <c r="H63" s="523">
        <f t="shared" si="33"/>
        <v>74.706494278496066</v>
      </c>
      <c r="I63" s="523">
        <f t="shared" si="33"/>
        <v>78.614950215485209</v>
      </c>
      <c r="J63" s="523">
        <f t="shared" si="33"/>
        <v>76.222321295883475</v>
      </c>
      <c r="K63" s="523">
        <f t="shared" si="33"/>
        <v>62.862238074008012</v>
      </c>
      <c r="L63" s="523">
        <f t="shared" si="33"/>
        <v>70.471095259325296</v>
      </c>
      <c r="M63" s="523">
        <f t="shared" si="33"/>
        <v>61.524743646901456</v>
      </c>
      <c r="N63" s="523">
        <f t="shared" si="33"/>
        <v>78.927032248476735</v>
      </c>
      <c r="O63" s="523">
        <f t="shared" si="33"/>
        <v>72.640808441075933</v>
      </c>
      <c r="P63" s="523">
        <f t="shared" si="33"/>
        <v>67.52860751969088</v>
      </c>
      <c r="Q63" s="523">
        <f>Q131/67.29*100</f>
        <v>72.88987003978238</v>
      </c>
      <c r="R63" s="523">
        <v>72.844280209488858</v>
      </c>
      <c r="S63" s="524">
        <v>71.010000000000005</v>
      </c>
    </row>
    <row r="64" spans="1:19" s="438" customFormat="1" ht="25.5">
      <c r="A64" s="404">
        <v>14</v>
      </c>
      <c r="B64" s="405" t="s">
        <v>193</v>
      </c>
      <c r="C64" s="628"/>
      <c r="D64" s="401" t="s">
        <v>72</v>
      </c>
      <c r="E64" s="401" t="s">
        <v>72</v>
      </c>
      <c r="F64" s="401" t="s">
        <v>72</v>
      </c>
      <c r="G64" s="401" t="s">
        <v>72</v>
      </c>
      <c r="H64" s="401" t="s">
        <v>72</v>
      </c>
      <c r="I64" s="401" t="s">
        <v>72</v>
      </c>
      <c r="J64" s="401" t="s">
        <v>72</v>
      </c>
      <c r="K64" s="401" t="s">
        <v>72</v>
      </c>
      <c r="L64" s="401" t="s">
        <v>72</v>
      </c>
      <c r="M64" s="401" t="s">
        <v>72</v>
      </c>
      <c r="N64" s="401" t="s">
        <v>72</v>
      </c>
      <c r="O64" s="401" t="s">
        <v>72</v>
      </c>
      <c r="P64" s="401" t="s">
        <v>72</v>
      </c>
      <c r="Q64" s="401">
        <v>83.51</v>
      </c>
      <c r="R64" s="401">
        <v>83.51</v>
      </c>
      <c r="S64" s="484">
        <v>76.98</v>
      </c>
    </row>
    <row r="65" spans="1:19" s="435" customFormat="1" ht="25.5">
      <c r="A65" s="627">
        <v>15</v>
      </c>
      <c r="B65" s="405" t="s">
        <v>73</v>
      </c>
      <c r="C65" s="628"/>
      <c r="D65" s="511">
        <f t="shared" ref="D65:Q65" si="34">D15/D8*100</f>
        <v>71.257485029940113</v>
      </c>
      <c r="E65" s="511">
        <f t="shared" si="34"/>
        <v>60.784313725490193</v>
      </c>
      <c r="F65" s="511">
        <f t="shared" si="34"/>
        <v>61.057692307692314</v>
      </c>
      <c r="G65" s="511">
        <f t="shared" si="34"/>
        <v>77.777777777777786</v>
      </c>
      <c r="H65" s="511">
        <f t="shared" si="34"/>
        <v>68.789808917197448</v>
      </c>
      <c r="I65" s="511">
        <f t="shared" si="34"/>
        <v>63.541666666666664</v>
      </c>
      <c r="J65" s="511">
        <f t="shared" si="34"/>
        <v>76.377952755905511</v>
      </c>
      <c r="K65" s="511">
        <f t="shared" si="34"/>
        <v>56.30252100840336</v>
      </c>
      <c r="L65" s="511">
        <f t="shared" si="34"/>
        <v>72.307692307692307</v>
      </c>
      <c r="M65" s="511">
        <f t="shared" si="34"/>
        <v>57.232704402515722</v>
      </c>
      <c r="N65" s="511">
        <v>0</v>
      </c>
      <c r="O65" s="511">
        <f t="shared" si="34"/>
        <v>63.04347826086957</v>
      </c>
      <c r="P65" s="511">
        <f t="shared" si="34"/>
        <v>51.19047619047619</v>
      </c>
      <c r="Q65" s="511">
        <f t="shared" si="34"/>
        <v>64.981504315659677</v>
      </c>
      <c r="R65" s="511">
        <v>61.852528945764774</v>
      </c>
      <c r="S65" s="512">
        <v>71.687183200579284</v>
      </c>
    </row>
    <row r="66" spans="1:19" s="435" customFormat="1" ht="25.5">
      <c r="A66" s="627">
        <v>16</v>
      </c>
      <c r="B66" s="405" t="s">
        <v>74</v>
      </c>
      <c r="C66" s="628"/>
      <c r="D66" s="511">
        <f t="shared" ref="D66:Q66" si="35">SUM(D53/D15)</f>
        <v>206.51585795608565</v>
      </c>
      <c r="E66" s="511">
        <f t="shared" si="35"/>
        <v>234.46045785639959</v>
      </c>
      <c r="F66" s="511">
        <f t="shared" si="35"/>
        <v>196.75285750571499</v>
      </c>
      <c r="G66" s="511">
        <f t="shared" si="35"/>
        <v>185.37183179723502</v>
      </c>
      <c r="H66" s="511">
        <f t="shared" si="35"/>
        <v>226.30854241338113</v>
      </c>
      <c r="I66" s="511">
        <f t="shared" si="35"/>
        <v>212.73611845584347</v>
      </c>
      <c r="J66" s="511">
        <f t="shared" si="35"/>
        <v>183.24343199201863</v>
      </c>
      <c r="K66" s="511">
        <f t="shared" si="35"/>
        <v>231.96822339913336</v>
      </c>
      <c r="L66" s="511">
        <f t="shared" si="35"/>
        <v>264.49897048730264</v>
      </c>
      <c r="M66" s="511">
        <f t="shared" si="35"/>
        <v>250.06770648706134</v>
      </c>
      <c r="N66" s="511">
        <v>0</v>
      </c>
      <c r="O66" s="511">
        <f t="shared" si="35"/>
        <v>213.17519466073412</v>
      </c>
      <c r="P66" s="511">
        <f t="shared" si="35"/>
        <v>223.89872468117028</v>
      </c>
      <c r="Q66" s="511">
        <f t="shared" si="35"/>
        <v>215.66591173410052</v>
      </c>
      <c r="R66" s="511">
        <v>219.29480375019864</v>
      </c>
      <c r="S66" s="512">
        <v>210.15161290322581</v>
      </c>
    </row>
    <row r="67" spans="1:19" s="438" customFormat="1" ht="25.5">
      <c r="A67" s="594">
        <v>17</v>
      </c>
      <c r="B67" s="588" t="s">
        <v>75</v>
      </c>
      <c r="C67" s="596"/>
      <c r="D67" s="454">
        <v>74098.870967741939</v>
      </c>
      <c r="E67" s="454">
        <v>95273.129032258061</v>
      </c>
      <c r="F67" s="454">
        <v>86111.612903225803</v>
      </c>
      <c r="G67" s="454">
        <v>131599.80645161291</v>
      </c>
      <c r="H67" s="454">
        <v>76804.161290322576</v>
      </c>
      <c r="I67" s="454">
        <v>49152.419354838712</v>
      </c>
      <c r="J67" s="454">
        <v>72595.645161290318</v>
      </c>
      <c r="K67" s="454">
        <v>81857.451612903227</v>
      </c>
      <c r="L67" s="454">
        <v>57592.129032258068</v>
      </c>
      <c r="M67" s="454">
        <v>57819.193548387098</v>
      </c>
      <c r="N67" s="454">
        <v>55085.806451612902</v>
      </c>
      <c r="O67" s="454">
        <v>39031.838709677417</v>
      </c>
      <c r="P67" s="454">
        <v>24944.483870967742</v>
      </c>
      <c r="Q67" s="463">
        <f>SUM(D67:P67)</f>
        <v>901966.54838709696</v>
      </c>
      <c r="R67" s="463">
        <v>873741.16129032255</v>
      </c>
      <c r="S67" s="464">
        <v>801290.58064516122</v>
      </c>
    </row>
    <row r="68" spans="1:19" s="435" customFormat="1">
      <c r="A68" s="603"/>
      <c r="B68" s="599" t="s">
        <v>76</v>
      </c>
      <c r="C68" s="605"/>
      <c r="D68" s="475">
        <f t="shared" ref="D68:Q68" si="36">SUM(D67/D17)</f>
        <v>557.13436817851084</v>
      </c>
      <c r="E68" s="475">
        <f t="shared" si="36"/>
        <v>517.78874474053293</v>
      </c>
      <c r="F68" s="475">
        <f t="shared" si="36"/>
        <v>637.86379928315409</v>
      </c>
      <c r="G68" s="475">
        <f t="shared" si="36"/>
        <v>696.29527223075615</v>
      </c>
      <c r="H68" s="475">
        <f t="shared" si="36"/>
        <v>650.88272279934381</v>
      </c>
      <c r="I68" s="475">
        <f t="shared" si="36"/>
        <v>702.17741935483878</v>
      </c>
      <c r="J68" s="475">
        <f t="shared" si="36"/>
        <v>595.04627181385501</v>
      </c>
      <c r="K68" s="475">
        <f t="shared" si="36"/>
        <v>524.72725392886684</v>
      </c>
      <c r="L68" s="475">
        <f t="shared" si="36"/>
        <v>587.67478604344967</v>
      </c>
      <c r="M68" s="475">
        <f t="shared" si="36"/>
        <v>535.36290322580646</v>
      </c>
      <c r="N68" s="475">
        <f t="shared" si="36"/>
        <v>671.77812745869392</v>
      </c>
      <c r="O68" s="475">
        <f t="shared" si="36"/>
        <v>619.55299539170505</v>
      </c>
      <c r="P68" s="475">
        <f t="shared" si="36"/>
        <v>580.10427606901726</v>
      </c>
      <c r="Q68" s="475">
        <f t="shared" si="36"/>
        <v>600.91042530785944</v>
      </c>
      <c r="R68" s="475">
        <v>596.00352066188441</v>
      </c>
      <c r="S68" s="476">
        <v>578.96718254708185</v>
      </c>
    </row>
    <row r="69" spans="1:19" s="438" customFormat="1" ht="25.5">
      <c r="A69" s="594">
        <v>18</v>
      </c>
      <c r="B69" s="588" t="s">
        <v>77</v>
      </c>
      <c r="C69" s="596"/>
      <c r="D69" s="400" t="s">
        <v>72</v>
      </c>
      <c r="E69" s="400" t="s">
        <v>72</v>
      </c>
      <c r="F69" s="400" t="s">
        <v>72</v>
      </c>
      <c r="G69" s="400" t="s">
        <v>72</v>
      </c>
      <c r="H69" s="400" t="s">
        <v>72</v>
      </c>
      <c r="I69" s="400" t="s">
        <v>72</v>
      </c>
      <c r="J69" s="400" t="s">
        <v>72</v>
      </c>
      <c r="K69" s="400" t="s">
        <v>72</v>
      </c>
      <c r="L69" s="400" t="s">
        <v>72</v>
      </c>
      <c r="M69" s="400" t="s">
        <v>72</v>
      </c>
      <c r="N69" s="400" t="s">
        <v>72</v>
      </c>
      <c r="O69" s="400" t="s">
        <v>72</v>
      </c>
      <c r="P69" s="400" t="s">
        <v>72</v>
      </c>
      <c r="Q69" s="400">
        <v>701900</v>
      </c>
      <c r="R69" s="400">
        <v>634200</v>
      </c>
      <c r="S69" s="483">
        <v>702700</v>
      </c>
    </row>
    <row r="70" spans="1:19" s="435" customFormat="1" ht="25.5">
      <c r="A70" s="587">
        <v>19</v>
      </c>
      <c r="B70" s="588" t="s">
        <v>78</v>
      </c>
      <c r="C70" s="596"/>
      <c r="D70" s="399" t="s">
        <v>72</v>
      </c>
      <c r="E70" s="399" t="s">
        <v>72</v>
      </c>
      <c r="F70" s="399" t="s">
        <v>72</v>
      </c>
      <c r="G70" s="399" t="s">
        <v>72</v>
      </c>
      <c r="H70" s="399" t="s">
        <v>72</v>
      </c>
      <c r="I70" s="399" t="s">
        <v>72</v>
      </c>
      <c r="J70" s="399" t="s">
        <v>72</v>
      </c>
      <c r="K70" s="399" t="s">
        <v>72</v>
      </c>
      <c r="L70" s="399" t="s">
        <v>72</v>
      </c>
      <c r="M70" s="399" t="s">
        <v>72</v>
      </c>
      <c r="N70" s="399" t="s">
        <v>72</v>
      </c>
      <c r="O70" s="399" t="s">
        <v>72</v>
      </c>
      <c r="P70" s="399" t="s">
        <v>72</v>
      </c>
      <c r="Q70" s="399">
        <v>18</v>
      </c>
      <c r="R70" s="399">
        <v>10</v>
      </c>
      <c r="S70" s="449">
        <v>12</v>
      </c>
    </row>
    <row r="71" spans="1:19" s="435" customFormat="1">
      <c r="A71" s="603"/>
      <c r="B71" s="599" t="s">
        <v>79</v>
      </c>
      <c r="C71" s="605"/>
      <c r="D71" s="146" t="s">
        <v>72</v>
      </c>
      <c r="E71" s="146" t="s">
        <v>72</v>
      </c>
      <c r="F71" s="146" t="s">
        <v>72</v>
      </c>
      <c r="G71" s="146" t="s">
        <v>72</v>
      </c>
      <c r="H71" s="146" t="s">
        <v>72</v>
      </c>
      <c r="I71" s="146" t="s">
        <v>72</v>
      </c>
      <c r="J71" s="146" t="s">
        <v>72</v>
      </c>
      <c r="K71" s="146" t="s">
        <v>72</v>
      </c>
      <c r="L71" s="146" t="s">
        <v>72</v>
      </c>
      <c r="M71" s="146" t="s">
        <v>72</v>
      </c>
      <c r="N71" s="146" t="s">
        <v>72</v>
      </c>
      <c r="O71" s="146" t="s">
        <v>72</v>
      </c>
      <c r="P71" s="146" t="s">
        <v>72</v>
      </c>
      <c r="Q71" s="146">
        <v>655</v>
      </c>
      <c r="R71" s="146">
        <v>111</v>
      </c>
      <c r="S71" s="525">
        <v>648</v>
      </c>
    </row>
    <row r="72" spans="1:19" s="435" customFormat="1" ht="25.5">
      <c r="A72" s="587">
        <v>20</v>
      </c>
      <c r="B72" s="588" t="s">
        <v>80</v>
      </c>
      <c r="C72" s="596"/>
      <c r="D72" s="399" t="s">
        <v>72</v>
      </c>
      <c r="E72" s="399" t="s">
        <v>72</v>
      </c>
      <c r="F72" s="399" t="s">
        <v>72</v>
      </c>
      <c r="G72" s="399" t="s">
        <v>72</v>
      </c>
      <c r="H72" s="399" t="s">
        <v>72</v>
      </c>
      <c r="I72" s="399" t="s">
        <v>72</v>
      </c>
      <c r="J72" s="399" t="s">
        <v>72</v>
      </c>
      <c r="K72" s="399" t="s">
        <v>72</v>
      </c>
      <c r="L72" s="399" t="s">
        <v>72</v>
      </c>
      <c r="M72" s="399" t="s">
        <v>72</v>
      </c>
      <c r="N72" s="399" t="s">
        <v>72</v>
      </c>
      <c r="O72" s="399" t="s">
        <v>72</v>
      </c>
      <c r="P72" s="399" t="s">
        <v>72</v>
      </c>
      <c r="Q72" s="399">
        <v>44824</v>
      </c>
      <c r="R72" s="399">
        <v>40125</v>
      </c>
      <c r="S72" s="449">
        <v>43900</v>
      </c>
    </row>
    <row r="73" spans="1:19" s="438" customFormat="1" ht="25.5">
      <c r="A73" s="404"/>
      <c r="B73" s="405" t="s">
        <v>177</v>
      </c>
      <c r="C73" s="628"/>
      <c r="D73" s="401" t="s">
        <v>72</v>
      </c>
      <c r="E73" s="401" t="s">
        <v>72</v>
      </c>
      <c r="F73" s="401" t="s">
        <v>72</v>
      </c>
      <c r="G73" s="401" t="s">
        <v>72</v>
      </c>
      <c r="H73" s="401" t="s">
        <v>72</v>
      </c>
      <c r="I73" s="401" t="s">
        <v>72</v>
      </c>
      <c r="J73" s="401" t="s">
        <v>72</v>
      </c>
      <c r="K73" s="401" t="s">
        <v>72</v>
      </c>
      <c r="L73" s="401" t="s">
        <v>72</v>
      </c>
      <c r="M73" s="401" t="s">
        <v>72</v>
      </c>
      <c r="N73" s="401" t="s">
        <v>72</v>
      </c>
      <c r="O73" s="401" t="s">
        <v>72</v>
      </c>
      <c r="P73" s="401" t="s">
        <v>72</v>
      </c>
      <c r="Q73" s="401">
        <v>30365580</v>
      </c>
      <c r="R73" s="401">
        <v>27074370</v>
      </c>
      <c r="S73" s="484">
        <v>30309750</v>
      </c>
    </row>
    <row r="74" spans="1:19" s="438" customFormat="1" ht="25.5">
      <c r="A74" s="598"/>
      <c r="B74" s="599" t="s">
        <v>82</v>
      </c>
      <c r="C74" s="605"/>
      <c r="D74" s="619" t="s">
        <v>72</v>
      </c>
      <c r="E74" s="619" t="s">
        <v>72</v>
      </c>
      <c r="F74" s="619" t="s">
        <v>72</v>
      </c>
      <c r="G74" s="619" t="s">
        <v>72</v>
      </c>
      <c r="H74" s="619" t="s">
        <v>72</v>
      </c>
      <c r="I74" s="619" t="s">
        <v>72</v>
      </c>
      <c r="J74" s="619" t="s">
        <v>72</v>
      </c>
      <c r="K74" s="619" t="s">
        <v>72</v>
      </c>
      <c r="L74" s="619" t="s">
        <v>72</v>
      </c>
      <c r="M74" s="619" t="s">
        <v>72</v>
      </c>
      <c r="N74" s="619" t="s">
        <v>72</v>
      </c>
      <c r="O74" s="619" t="s">
        <v>72</v>
      </c>
      <c r="P74" s="619" t="s">
        <v>72</v>
      </c>
      <c r="Q74" s="492">
        <f>SUM(Q73/Q36)</f>
        <v>3.0678107080258719</v>
      </c>
      <c r="R74" s="492">
        <v>2.7810374337889683</v>
      </c>
      <c r="S74" s="493">
        <v>3.4198718874508733</v>
      </c>
    </row>
    <row r="75" spans="1:19" s="438" customFormat="1">
      <c r="A75" s="594">
        <v>21</v>
      </c>
      <c r="B75" s="588" t="s">
        <v>83</v>
      </c>
      <c r="C75" s="596"/>
      <c r="D75" s="400" t="s">
        <v>72</v>
      </c>
      <c r="E75" s="400" t="s">
        <v>72</v>
      </c>
      <c r="F75" s="400" t="s">
        <v>72</v>
      </c>
      <c r="G75" s="400" t="s">
        <v>72</v>
      </c>
      <c r="H75" s="400" t="s">
        <v>72</v>
      </c>
      <c r="I75" s="400" t="s">
        <v>72</v>
      </c>
      <c r="J75" s="400" t="s">
        <v>72</v>
      </c>
      <c r="K75" s="400" t="s">
        <v>72</v>
      </c>
      <c r="L75" s="400" t="s">
        <v>72</v>
      </c>
      <c r="M75" s="400" t="s">
        <v>72</v>
      </c>
      <c r="N75" s="400" t="s">
        <v>72</v>
      </c>
      <c r="O75" s="400" t="s">
        <v>72</v>
      </c>
      <c r="P75" s="400" t="s">
        <v>72</v>
      </c>
      <c r="Q75" s="400">
        <f>SUM(C76:C82)</f>
        <v>601598</v>
      </c>
      <c r="R75" s="400">
        <v>586948</v>
      </c>
      <c r="S75" s="483">
        <v>541102</v>
      </c>
    </row>
    <row r="76" spans="1:19" ht="25.5">
      <c r="A76" s="404"/>
      <c r="B76" s="405" t="s">
        <v>84</v>
      </c>
      <c r="C76" s="628">
        <v>142505</v>
      </c>
      <c r="D76" s="401" t="s">
        <v>72</v>
      </c>
      <c r="E76" s="401" t="s">
        <v>72</v>
      </c>
      <c r="F76" s="401" t="s">
        <v>72</v>
      </c>
      <c r="G76" s="401" t="s">
        <v>72</v>
      </c>
      <c r="H76" s="401" t="s">
        <v>72</v>
      </c>
      <c r="I76" s="401" t="s">
        <v>72</v>
      </c>
      <c r="J76" s="401" t="s">
        <v>72</v>
      </c>
      <c r="K76" s="401" t="s">
        <v>72</v>
      </c>
      <c r="L76" s="401" t="s">
        <v>72</v>
      </c>
      <c r="M76" s="401" t="s">
        <v>72</v>
      </c>
      <c r="N76" s="401" t="s">
        <v>72</v>
      </c>
      <c r="O76" s="401" t="s">
        <v>72</v>
      </c>
      <c r="P76" s="401" t="s">
        <v>72</v>
      </c>
      <c r="Q76" s="401" t="s">
        <v>72</v>
      </c>
      <c r="R76" s="401" t="s">
        <v>72</v>
      </c>
      <c r="S76" s="484"/>
    </row>
    <row r="77" spans="1:19">
      <c r="A77" s="404"/>
      <c r="B77" s="405" t="s">
        <v>85</v>
      </c>
      <c r="C77" s="628">
        <v>426627</v>
      </c>
      <c r="D77" s="401" t="s">
        <v>72</v>
      </c>
      <c r="E77" s="401" t="s">
        <v>72</v>
      </c>
      <c r="F77" s="401" t="s">
        <v>72</v>
      </c>
      <c r="G77" s="401" t="s">
        <v>72</v>
      </c>
      <c r="H77" s="401" t="s">
        <v>72</v>
      </c>
      <c r="I77" s="401" t="s">
        <v>72</v>
      </c>
      <c r="J77" s="401" t="s">
        <v>72</v>
      </c>
      <c r="K77" s="401" t="s">
        <v>72</v>
      </c>
      <c r="L77" s="401" t="s">
        <v>72</v>
      </c>
      <c r="M77" s="401" t="s">
        <v>72</v>
      </c>
      <c r="N77" s="401" t="s">
        <v>72</v>
      </c>
      <c r="O77" s="401" t="s">
        <v>72</v>
      </c>
      <c r="P77" s="401" t="s">
        <v>72</v>
      </c>
      <c r="Q77" s="401" t="s">
        <v>72</v>
      </c>
      <c r="R77" s="401" t="s">
        <v>72</v>
      </c>
      <c r="S77" s="484"/>
    </row>
    <row r="78" spans="1:19" ht="25.5">
      <c r="A78" s="404"/>
      <c r="B78" s="405" t="s">
        <v>86</v>
      </c>
      <c r="C78" s="628">
        <v>9189</v>
      </c>
      <c r="D78" s="401" t="s">
        <v>72</v>
      </c>
      <c r="E78" s="401" t="s">
        <v>72</v>
      </c>
      <c r="F78" s="401" t="s">
        <v>72</v>
      </c>
      <c r="G78" s="401" t="s">
        <v>72</v>
      </c>
      <c r="H78" s="401" t="s">
        <v>72</v>
      </c>
      <c r="I78" s="401" t="s">
        <v>72</v>
      </c>
      <c r="J78" s="401" t="s">
        <v>72</v>
      </c>
      <c r="K78" s="401" t="s">
        <v>72</v>
      </c>
      <c r="L78" s="401" t="s">
        <v>72</v>
      </c>
      <c r="M78" s="401" t="s">
        <v>72</v>
      </c>
      <c r="N78" s="401" t="s">
        <v>72</v>
      </c>
      <c r="O78" s="401" t="s">
        <v>72</v>
      </c>
      <c r="P78" s="401" t="s">
        <v>72</v>
      </c>
      <c r="Q78" s="401" t="s">
        <v>72</v>
      </c>
      <c r="R78" s="401" t="s">
        <v>72</v>
      </c>
      <c r="S78" s="484"/>
    </row>
    <row r="79" spans="1:19">
      <c r="A79" s="404"/>
      <c r="B79" s="602" t="s">
        <v>87</v>
      </c>
      <c r="C79" s="628">
        <v>1410</v>
      </c>
      <c r="D79" s="401" t="s">
        <v>72</v>
      </c>
      <c r="E79" s="401" t="s">
        <v>72</v>
      </c>
      <c r="F79" s="401" t="s">
        <v>72</v>
      </c>
      <c r="G79" s="401" t="s">
        <v>72</v>
      </c>
      <c r="H79" s="401" t="s">
        <v>72</v>
      </c>
      <c r="I79" s="401" t="s">
        <v>72</v>
      </c>
      <c r="J79" s="401" t="s">
        <v>72</v>
      </c>
      <c r="K79" s="401" t="s">
        <v>72</v>
      </c>
      <c r="L79" s="401" t="s">
        <v>72</v>
      </c>
      <c r="M79" s="401" t="s">
        <v>72</v>
      </c>
      <c r="N79" s="401" t="s">
        <v>72</v>
      </c>
      <c r="O79" s="401" t="s">
        <v>72</v>
      </c>
      <c r="P79" s="401" t="s">
        <v>72</v>
      </c>
      <c r="Q79" s="401" t="s">
        <v>72</v>
      </c>
      <c r="R79" s="401" t="s">
        <v>72</v>
      </c>
      <c r="S79" s="484"/>
    </row>
    <row r="80" spans="1:19" ht="25.5">
      <c r="A80" s="594"/>
      <c r="B80" s="588" t="s">
        <v>88</v>
      </c>
      <c r="C80" s="628">
        <v>15265</v>
      </c>
      <c r="D80" s="400" t="s">
        <v>72</v>
      </c>
      <c r="E80" s="400" t="s">
        <v>72</v>
      </c>
      <c r="F80" s="400" t="s">
        <v>72</v>
      </c>
      <c r="G80" s="400" t="s">
        <v>72</v>
      </c>
      <c r="H80" s="400" t="s">
        <v>72</v>
      </c>
      <c r="I80" s="400" t="s">
        <v>72</v>
      </c>
      <c r="J80" s="400" t="s">
        <v>72</v>
      </c>
      <c r="K80" s="400" t="s">
        <v>72</v>
      </c>
      <c r="L80" s="400" t="s">
        <v>72</v>
      </c>
      <c r="M80" s="400" t="s">
        <v>72</v>
      </c>
      <c r="N80" s="400" t="s">
        <v>72</v>
      </c>
      <c r="O80" s="400" t="s">
        <v>72</v>
      </c>
      <c r="P80" s="400" t="s">
        <v>72</v>
      </c>
      <c r="Q80" s="400" t="s">
        <v>72</v>
      </c>
      <c r="R80" s="400" t="s">
        <v>72</v>
      </c>
      <c r="S80" s="483"/>
    </row>
    <row r="81" spans="1:19">
      <c r="A81" s="594"/>
      <c r="B81" s="588" t="s">
        <v>89</v>
      </c>
      <c r="C81" s="628">
        <v>1258</v>
      </c>
      <c r="D81" s="400" t="s">
        <v>72</v>
      </c>
      <c r="E81" s="400" t="s">
        <v>72</v>
      </c>
      <c r="F81" s="400" t="s">
        <v>72</v>
      </c>
      <c r="G81" s="400" t="s">
        <v>72</v>
      </c>
      <c r="H81" s="400" t="s">
        <v>72</v>
      </c>
      <c r="I81" s="400" t="s">
        <v>72</v>
      </c>
      <c r="J81" s="400" t="s">
        <v>72</v>
      </c>
      <c r="K81" s="400" t="s">
        <v>72</v>
      </c>
      <c r="L81" s="400" t="s">
        <v>72</v>
      </c>
      <c r="M81" s="400" t="s">
        <v>72</v>
      </c>
      <c r="N81" s="400" t="s">
        <v>72</v>
      </c>
      <c r="O81" s="400" t="s">
        <v>72</v>
      </c>
      <c r="P81" s="400" t="s">
        <v>72</v>
      </c>
      <c r="Q81" s="400" t="s">
        <v>72</v>
      </c>
      <c r="R81" s="400" t="s">
        <v>72</v>
      </c>
      <c r="S81" s="483"/>
    </row>
    <row r="82" spans="1:19">
      <c r="A82" s="594"/>
      <c r="B82" s="588" t="s">
        <v>90</v>
      </c>
      <c r="C82" s="628">
        <v>5344</v>
      </c>
      <c r="D82" s="400" t="s">
        <v>72</v>
      </c>
      <c r="E82" s="400" t="s">
        <v>72</v>
      </c>
      <c r="F82" s="400" t="s">
        <v>72</v>
      </c>
      <c r="G82" s="400" t="s">
        <v>72</v>
      </c>
      <c r="H82" s="400" t="s">
        <v>72</v>
      </c>
      <c r="I82" s="400" t="s">
        <v>72</v>
      </c>
      <c r="J82" s="400" t="s">
        <v>72</v>
      </c>
      <c r="K82" s="400" t="s">
        <v>72</v>
      </c>
      <c r="L82" s="400" t="s">
        <v>72</v>
      </c>
      <c r="M82" s="400" t="s">
        <v>72</v>
      </c>
      <c r="N82" s="400" t="s">
        <v>72</v>
      </c>
      <c r="O82" s="400" t="s">
        <v>72</v>
      </c>
      <c r="P82" s="400" t="s">
        <v>72</v>
      </c>
      <c r="Q82" s="400" t="s">
        <v>72</v>
      </c>
      <c r="R82" s="400" t="s">
        <v>72</v>
      </c>
      <c r="S82" s="483"/>
    </row>
    <row r="83" spans="1:19" s="438" customFormat="1" ht="25.5">
      <c r="A83" s="404"/>
      <c r="B83" s="405" t="s">
        <v>91</v>
      </c>
      <c r="C83" s="633"/>
      <c r="D83" s="401" t="s">
        <v>72</v>
      </c>
      <c r="E83" s="401" t="s">
        <v>72</v>
      </c>
      <c r="F83" s="401" t="s">
        <v>72</v>
      </c>
      <c r="G83" s="401" t="s">
        <v>72</v>
      </c>
      <c r="H83" s="401" t="s">
        <v>72</v>
      </c>
      <c r="I83" s="401" t="s">
        <v>72</v>
      </c>
      <c r="J83" s="401" t="s">
        <v>72</v>
      </c>
      <c r="K83" s="401" t="s">
        <v>72</v>
      </c>
      <c r="L83" s="401" t="s">
        <v>72</v>
      </c>
      <c r="M83" s="401" t="s">
        <v>72</v>
      </c>
      <c r="N83" s="401" t="s">
        <v>72</v>
      </c>
      <c r="O83" s="401" t="s">
        <v>72</v>
      </c>
      <c r="P83" s="401" t="s">
        <v>72</v>
      </c>
      <c r="Q83" s="463">
        <v>66578470</v>
      </c>
      <c r="R83" s="388">
        <v>63988020</v>
      </c>
      <c r="S83" s="464">
        <v>62133090</v>
      </c>
    </row>
    <row r="84" spans="1:19" s="438" customFormat="1" ht="26.25" thickBot="1">
      <c r="A84" s="629"/>
      <c r="B84" s="630" t="s">
        <v>92</v>
      </c>
      <c r="C84" s="635"/>
      <c r="D84" s="402" t="s">
        <v>72</v>
      </c>
      <c r="E84" s="402" t="s">
        <v>72</v>
      </c>
      <c r="F84" s="402" t="s">
        <v>72</v>
      </c>
      <c r="G84" s="402" t="s">
        <v>72</v>
      </c>
      <c r="H84" s="402" t="s">
        <v>72</v>
      </c>
      <c r="I84" s="402" t="s">
        <v>72</v>
      </c>
      <c r="J84" s="402" t="s">
        <v>72</v>
      </c>
      <c r="K84" s="402" t="s">
        <v>72</v>
      </c>
      <c r="L84" s="402" t="s">
        <v>72</v>
      </c>
      <c r="M84" s="402" t="s">
        <v>72</v>
      </c>
      <c r="N84" s="402" t="s">
        <v>72</v>
      </c>
      <c r="O84" s="402" t="s">
        <v>72</v>
      </c>
      <c r="P84" s="402" t="s">
        <v>72</v>
      </c>
      <c r="Q84" s="518">
        <f>SUM(Q83/Q36)</f>
        <v>6.7263705547524291</v>
      </c>
      <c r="R84" s="659">
        <v>6.5727504992373671</v>
      </c>
      <c r="S84" s="519">
        <v>7.010523272922244</v>
      </c>
    </row>
    <row r="85" spans="1:19" s="438" customFormat="1" ht="15" thickTop="1">
      <c r="A85" s="594" t="s">
        <v>93</v>
      </c>
      <c r="B85" s="588" t="s">
        <v>94</v>
      </c>
      <c r="C85" s="637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529"/>
      <c r="R85" s="529"/>
      <c r="S85" s="464"/>
    </row>
    <row r="86" spans="1:19" s="438" customFormat="1">
      <c r="A86" s="404"/>
      <c r="B86" s="405" t="s">
        <v>95</v>
      </c>
      <c r="C86" s="406"/>
      <c r="D86" s="401" t="s">
        <v>72</v>
      </c>
      <c r="E86" s="401" t="s">
        <v>72</v>
      </c>
      <c r="F86" s="401" t="s">
        <v>72</v>
      </c>
      <c r="G86" s="401" t="s">
        <v>72</v>
      </c>
      <c r="H86" s="401" t="s">
        <v>72</v>
      </c>
      <c r="I86" s="401" t="s">
        <v>72</v>
      </c>
      <c r="J86" s="401" t="s">
        <v>72</v>
      </c>
      <c r="K86" s="401" t="s">
        <v>72</v>
      </c>
      <c r="L86" s="401" t="s">
        <v>72</v>
      </c>
      <c r="M86" s="401" t="s">
        <v>72</v>
      </c>
      <c r="N86" s="401" t="s">
        <v>72</v>
      </c>
      <c r="O86" s="401" t="s">
        <v>72</v>
      </c>
      <c r="P86" s="401" t="s">
        <v>72</v>
      </c>
      <c r="Q86" s="401">
        <v>1</v>
      </c>
      <c r="R86" s="401">
        <v>2</v>
      </c>
      <c r="S86" s="484">
        <v>1</v>
      </c>
    </row>
    <row r="87" spans="1:19" s="438" customFormat="1">
      <c r="A87" s="404"/>
      <c r="B87" s="405" t="s">
        <v>96</v>
      </c>
      <c r="C87" s="406"/>
      <c r="D87" s="401" t="s">
        <v>72</v>
      </c>
      <c r="E87" s="401" t="s">
        <v>72</v>
      </c>
      <c r="F87" s="401" t="s">
        <v>72</v>
      </c>
      <c r="G87" s="401" t="s">
        <v>72</v>
      </c>
      <c r="H87" s="401" t="s">
        <v>72</v>
      </c>
      <c r="I87" s="401" t="s">
        <v>72</v>
      </c>
      <c r="J87" s="401" t="s">
        <v>72</v>
      </c>
      <c r="K87" s="401" t="s">
        <v>72</v>
      </c>
      <c r="L87" s="401" t="s">
        <v>72</v>
      </c>
      <c r="M87" s="401" t="s">
        <v>72</v>
      </c>
      <c r="N87" s="401" t="s">
        <v>72</v>
      </c>
      <c r="O87" s="401" t="s">
        <v>72</v>
      </c>
      <c r="P87" s="401" t="s">
        <v>72</v>
      </c>
      <c r="Q87" s="401">
        <v>2</v>
      </c>
      <c r="R87" s="401">
        <v>2</v>
      </c>
      <c r="S87" s="484">
        <v>1</v>
      </c>
    </row>
    <row r="88" spans="1:19" s="438" customFormat="1">
      <c r="A88" s="404"/>
      <c r="B88" s="405" t="s">
        <v>97</v>
      </c>
      <c r="C88" s="406"/>
      <c r="D88" s="401" t="s">
        <v>72</v>
      </c>
      <c r="E88" s="401" t="s">
        <v>72</v>
      </c>
      <c r="F88" s="401" t="s">
        <v>72</v>
      </c>
      <c r="G88" s="401" t="s">
        <v>72</v>
      </c>
      <c r="H88" s="401" t="s">
        <v>72</v>
      </c>
      <c r="I88" s="401" t="s">
        <v>72</v>
      </c>
      <c r="J88" s="401" t="s">
        <v>72</v>
      </c>
      <c r="K88" s="401" t="s">
        <v>72</v>
      </c>
      <c r="L88" s="401" t="s">
        <v>72</v>
      </c>
      <c r="M88" s="401" t="s">
        <v>72</v>
      </c>
      <c r="N88" s="401" t="s">
        <v>72</v>
      </c>
      <c r="O88" s="401" t="s">
        <v>72</v>
      </c>
      <c r="P88" s="401" t="s">
        <v>72</v>
      </c>
      <c r="Q88" s="401">
        <v>1</v>
      </c>
      <c r="R88" s="401">
        <v>0</v>
      </c>
      <c r="S88" s="484">
        <v>0</v>
      </c>
    </row>
    <row r="89" spans="1:19" s="438" customFormat="1">
      <c r="A89" s="404"/>
      <c r="B89" s="405" t="s">
        <v>98</v>
      </c>
      <c r="C89" s="406"/>
      <c r="D89" s="401" t="s">
        <v>72</v>
      </c>
      <c r="E89" s="401" t="s">
        <v>72</v>
      </c>
      <c r="F89" s="401" t="s">
        <v>72</v>
      </c>
      <c r="G89" s="401" t="s">
        <v>72</v>
      </c>
      <c r="H89" s="401" t="s">
        <v>72</v>
      </c>
      <c r="I89" s="401" t="s">
        <v>72</v>
      </c>
      <c r="J89" s="401" t="s">
        <v>72</v>
      </c>
      <c r="K89" s="401" t="s">
        <v>72</v>
      </c>
      <c r="L89" s="401" t="s">
        <v>72</v>
      </c>
      <c r="M89" s="401" t="s">
        <v>72</v>
      </c>
      <c r="N89" s="401" t="s">
        <v>72</v>
      </c>
      <c r="O89" s="401" t="s">
        <v>72</v>
      </c>
      <c r="P89" s="401" t="s">
        <v>72</v>
      </c>
      <c r="Q89" s="401">
        <v>5</v>
      </c>
      <c r="R89" s="401">
        <v>6</v>
      </c>
      <c r="S89" s="484">
        <v>5</v>
      </c>
    </row>
    <row r="90" spans="1:19" s="438" customFormat="1">
      <c r="A90" s="404"/>
      <c r="B90" s="405" t="s">
        <v>99</v>
      </c>
      <c r="C90" s="406"/>
      <c r="D90" s="401" t="s">
        <v>72</v>
      </c>
      <c r="E90" s="401" t="s">
        <v>72</v>
      </c>
      <c r="F90" s="401" t="s">
        <v>72</v>
      </c>
      <c r="G90" s="401" t="s">
        <v>72</v>
      </c>
      <c r="H90" s="401" t="s">
        <v>72</v>
      </c>
      <c r="I90" s="401" t="s">
        <v>72</v>
      </c>
      <c r="J90" s="401" t="s">
        <v>72</v>
      </c>
      <c r="K90" s="401" t="s">
        <v>72</v>
      </c>
      <c r="L90" s="401" t="s">
        <v>72</v>
      </c>
      <c r="M90" s="401" t="s">
        <v>72</v>
      </c>
      <c r="N90" s="401" t="s">
        <v>72</v>
      </c>
      <c r="O90" s="401" t="s">
        <v>72</v>
      </c>
      <c r="P90" s="401" t="s">
        <v>72</v>
      </c>
      <c r="Q90" s="401">
        <f>SUM(Q86:Q89)</f>
        <v>9</v>
      </c>
      <c r="R90" s="401">
        <v>10</v>
      </c>
      <c r="S90" s="484">
        <v>7</v>
      </c>
    </row>
    <row r="91" spans="1:19" s="438" customFormat="1" ht="25.5">
      <c r="A91" s="598"/>
      <c r="B91" s="599" t="s">
        <v>100</v>
      </c>
      <c r="C91" s="638"/>
      <c r="D91" s="619" t="s">
        <v>72</v>
      </c>
      <c r="E91" s="619" t="s">
        <v>72</v>
      </c>
      <c r="F91" s="619" t="s">
        <v>72</v>
      </c>
      <c r="G91" s="619" t="s">
        <v>72</v>
      </c>
      <c r="H91" s="619" t="s">
        <v>72</v>
      </c>
      <c r="I91" s="619" t="s">
        <v>72</v>
      </c>
      <c r="J91" s="619" t="s">
        <v>72</v>
      </c>
      <c r="K91" s="619" t="s">
        <v>72</v>
      </c>
      <c r="L91" s="619" t="s">
        <v>72</v>
      </c>
      <c r="M91" s="619" t="s">
        <v>72</v>
      </c>
      <c r="N91" s="619" t="s">
        <v>72</v>
      </c>
      <c r="O91" s="619" t="s">
        <v>72</v>
      </c>
      <c r="P91" s="619" t="s">
        <v>72</v>
      </c>
      <c r="Q91" s="492">
        <f>Q90/Q50*100000</f>
        <v>0.12771993799055101</v>
      </c>
      <c r="R91" s="492">
        <v>0.14492520482641513</v>
      </c>
      <c r="S91" s="493">
        <v>0.10853465348683854</v>
      </c>
    </row>
    <row r="92" spans="1:19" s="438" customFormat="1">
      <c r="A92" s="639" t="s">
        <v>19</v>
      </c>
      <c r="B92" s="588" t="s">
        <v>101</v>
      </c>
      <c r="C92" s="640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533"/>
      <c r="R92" s="533"/>
      <c r="S92" s="534"/>
    </row>
    <row r="93" spans="1:19" s="438" customFormat="1">
      <c r="A93" s="639"/>
      <c r="B93" s="405" t="s">
        <v>95</v>
      </c>
      <c r="C93" s="406"/>
      <c r="D93" s="401" t="s">
        <v>72</v>
      </c>
      <c r="E93" s="401" t="s">
        <v>72</v>
      </c>
      <c r="F93" s="401" t="s">
        <v>72</v>
      </c>
      <c r="G93" s="401" t="s">
        <v>72</v>
      </c>
      <c r="H93" s="401" t="s">
        <v>72</v>
      </c>
      <c r="I93" s="401" t="s">
        <v>72</v>
      </c>
      <c r="J93" s="401" t="s">
        <v>72</v>
      </c>
      <c r="K93" s="401" t="s">
        <v>72</v>
      </c>
      <c r="L93" s="401" t="s">
        <v>72</v>
      </c>
      <c r="M93" s="401" t="s">
        <v>72</v>
      </c>
      <c r="N93" s="401" t="s">
        <v>72</v>
      </c>
      <c r="O93" s="401" t="s">
        <v>72</v>
      </c>
      <c r="P93" s="401" t="s">
        <v>72</v>
      </c>
      <c r="Q93" s="401">
        <v>0</v>
      </c>
      <c r="R93" s="401">
        <v>0</v>
      </c>
      <c r="S93" s="484">
        <v>0</v>
      </c>
    </row>
    <row r="94" spans="1:19" s="438" customFormat="1">
      <c r="A94" s="639"/>
      <c r="B94" s="405" t="s">
        <v>96</v>
      </c>
      <c r="C94" s="406"/>
      <c r="D94" s="401" t="s">
        <v>72</v>
      </c>
      <c r="E94" s="401" t="s">
        <v>72</v>
      </c>
      <c r="F94" s="401" t="s">
        <v>72</v>
      </c>
      <c r="G94" s="401" t="s">
        <v>72</v>
      </c>
      <c r="H94" s="401" t="s">
        <v>72</v>
      </c>
      <c r="I94" s="401" t="s">
        <v>72</v>
      </c>
      <c r="J94" s="401" t="s">
        <v>72</v>
      </c>
      <c r="K94" s="401" t="s">
        <v>72</v>
      </c>
      <c r="L94" s="401" t="s">
        <v>72</v>
      </c>
      <c r="M94" s="401" t="s">
        <v>72</v>
      </c>
      <c r="N94" s="401" t="s">
        <v>72</v>
      </c>
      <c r="O94" s="401" t="s">
        <v>72</v>
      </c>
      <c r="P94" s="401" t="s">
        <v>72</v>
      </c>
      <c r="Q94" s="401">
        <v>0</v>
      </c>
      <c r="R94" s="401">
        <v>4</v>
      </c>
      <c r="S94" s="484">
        <v>1</v>
      </c>
    </row>
    <row r="95" spans="1:19" s="438" customFormat="1">
      <c r="A95" s="639"/>
      <c r="B95" s="405" t="s">
        <v>97</v>
      </c>
      <c r="C95" s="406"/>
      <c r="D95" s="401" t="s">
        <v>72</v>
      </c>
      <c r="E95" s="401" t="s">
        <v>72</v>
      </c>
      <c r="F95" s="401" t="s">
        <v>72</v>
      </c>
      <c r="G95" s="401" t="s">
        <v>72</v>
      </c>
      <c r="H95" s="401" t="s">
        <v>72</v>
      </c>
      <c r="I95" s="401" t="s">
        <v>72</v>
      </c>
      <c r="J95" s="401" t="s">
        <v>72</v>
      </c>
      <c r="K95" s="401" t="s">
        <v>72</v>
      </c>
      <c r="L95" s="401" t="s">
        <v>72</v>
      </c>
      <c r="M95" s="401" t="s">
        <v>72</v>
      </c>
      <c r="N95" s="401" t="s">
        <v>72</v>
      </c>
      <c r="O95" s="401" t="s">
        <v>72</v>
      </c>
      <c r="P95" s="401" t="s">
        <v>72</v>
      </c>
      <c r="Q95" s="401">
        <v>0</v>
      </c>
      <c r="R95" s="401">
        <v>0</v>
      </c>
      <c r="S95" s="484">
        <v>1</v>
      </c>
    </row>
    <row r="96" spans="1:19" s="438" customFormat="1">
      <c r="A96" s="639"/>
      <c r="B96" s="405" t="s">
        <v>98</v>
      </c>
      <c r="C96" s="406"/>
      <c r="D96" s="401" t="s">
        <v>72</v>
      </c>
      <c r="E96" s="401" t="s">
        <v>72</v>
      </c>
      <c r="F96" s="401" t="s">
        <v>72</v>
      </c>
      <c r="G96" s="401" t="s">
        <v>72</v>
      </c>
      <c r="H96" s="401" t="s">
        <v>72</v>
      </c>
      <c r="I96" s="401" t="s">
        <v>72</v>
      </c>
      <c r="J96" s="401" t="s">
        <v>72</v>
      </c>
      <c r="K96" s="401" t="s">
        <v>72</v>
      </c>
      <c r="L96" s="401" t="s">
        <v>72</v>
      </c>
      <c r="M96" s="401" t="s">
        <v>72</v>
      </c>
      <c r="N96" s="401" t="s">
        <v>72</v>
      </c>
      <c r="O96" s="401" t="s">
        <v>72</v>
      </c>
      <c r="P96" s="401" t="s">
        <v>72</v>
      </c>
      <c r="Q96" s="401">
        <v>1</v>
      </c>
      <c r="R96" s="401">
        <v>1</v>
      </c>
      <c r="S96" s="484">
        <v>0</v>
      </c>
    </row>
    <row r="97" spans="1:19" s="438" customFormat="1">
      <c r="A97" s="639"/>
      <c r="B97" s="617" t="s">
        <v>99</v>
      </c>
      <c r="C97" s="641"/>
      <c r="D97" s="536" t="s">
        <v>72</v>
      </c>
      <c r="E97" s="536" t="s">
        <v>72</v>
      </c>
      <c r="F97" s="536" t="s">
        <v>72</v>
      </c>
      <c r="G97" s="536" t="s">
        <v>72</v>
      </c>
      <c r="H97" s="536" t="s">
        <v>72</v>
      </c>
      <c r="I97" s="536" t="s">
        <v>72</v>
      </c>
      <c r="J97" s="536" t="s">
        <v>72</v>
      </c>
      <c r="K97" s="536" t="s">
        <v>72</v>
      </c>
      <c r="L97" s="536" t="s">
        <v>72</v>
      </c>
      <c r="M97" s="536" t="s">
        <v>72</v>
      </c>
      <c r="N97" s="536" t="s">
        <v>72</v>
      </c>
      <c r="O97" s="536" t="s">
        <v>72</v>
      </c>
      <c r="P97" s="536" t="s">
        <v>72</v>
      </c>
      <c r="Q97" s="536">
        <f>SUM(Q93:Q96)</f>
        <v>1</v>
      </c>
      <c r="R97" s="536">
        <v>5</v>
      </c>
      <c r="S97" s="537">
        <v>2</v>
      </c>
    </row>
    <row r="98" spans="1:19" s="438" customFormat="1" ht="26.25" thickBot="1">
      <c r="A98" s="629"/>
      <c r="B98" s="630" t="s">
        <v>100</v>
      </c>
      <c r="C98" s="642"/>
      <c r="D98" s="402" t="s">
        <v>72</v>
      </c>
      <c r="E98" s="402" t="s">
        <v>72</v>
      </c>
      <c r="F98" s="402" t="s">
        <v>72</v>
      </c>
      <c r="G98" s="402" t="s">
        <v>72</v>
      </c>
      <c r="H98" s="402" t="s">
        <v>72</v>
      </c>
      <c r="I98" s="402" t="s">
        <v>72</v>
      </c>
      <c r="J98" s="402" t="s">
        <v>72</v>
      </c>
      <c r="K98" s="402" t="s">
        <v>72</v>
      </c>
      <c r="L98" s="402" t="s">
        <v>72</v>
      </c>
      <c r="M98" s="402" t="s">
        <v>72</v>
      </c>
      <c r="N98" s="402" t="s">
        <v>72</v>
      </c>
      <c r="O98" s="402" t="s">
        <v>72</v>
      </c>
      <c r="P98" s="402" t="s">
        <v>72</v>
      </c>
      <c r="Q98" s="518">
        <f>Q97/Q35*100000</f>
        <v>3.2281609264047099E-2</v>
      </c>
      <c r="R98" s="518">
        <v>0.1626946926713525</v>
      </c>
      <c r="S98" s="519">
        <v>7.5695127277571758E-2</v>
      </c>
    </row>
    <row r="99" spans="1:19" s="438" customFormat="1" ht="15" thickTop="1">
      <c r="A99" s="594"/>
      <c r="B99" s="643" t="s">
        <v>102</v>
      </c>
      <c r="C99" s="644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529"/>
      <c r="R99" s="529"/>
      <c r="S99" s="483"/>
    </row>
    <row r="100" spans="1:19" s="438" customFormat="1">
      <c r="A100" s="404">
        <v>23</v>
      </c>
      <c r="B100" s="405" t="s">
        <v>103</v>
      </c>
      <c r="C100" s="466"/>
      <c r="D100" s="399">
        <v>82</v>
      </c>
      <c r="E100" s="399">
        <v>66</v>
      </c>
      <c r="F100" s="399">
        <v>109</v>
      </c>
      <c r="G100" s="399">
        <v>46</v>
      </c>
      <c r="H100" s="399">
        <v>59</v>
      </c>
      <c r="I100" s="399">
        <v>28</v>
      </c>
      <c r="J100" s="399">
        <v>47</v>
      </c>
      <c r="K100" s="399">
        <v>14</v>
      </c>
      <c r="L100" s="399">
        <v>7</v>
      </c>
      <c r="M100" s="399">
        <v>61</v>
      </c>
      <c r="N100" s="399">
        <v>0</v>
      </c>
      <c r="O100" s="399">
        <v>31</v>
      </c>
      <c r="P100" s="399">
        <v>36</v>
      </c>
      <c r="Q100" s="408">
        <f>SUM(D100:P100)</f>
        <v>586</v>
      </c>
      <c r="R100" s="408">
        <v>556</v>
      </c>
      <c r="S100" s="437">
        <v>930</v>
      </c>
    </row>
    <row r="101" spans="1:19" s="435" customFormat="1" ht="25.5">
      <c r="A101" s="603">
        <v>24</v>
      </c>
      <c r="B101" s="599" t="s">
        <v>104</v>
      </c>
      <c r="C101" s="645"/>
      <c r="D101" s="461">
        <f t="shared" ref="D101:Q101" si="37">SUM(D100/D50*10000)</f>
        <v>1.0763457274981394</v>
      </c>
      <c r="E101" s="461">
        <f t="shared" si="37"/>
        <v>0.73230322679430937</v>
      </c>
      <c r="F101" s="461">
        <f t="shared" si="37"/>
        <v>1.4071488324537578</v>
      </c>
      <c r="G101" s="461">
        <f t="shared" si="37"/>
        <v>0.71471743024901691</v>
      </c>
      <c r="H101" s="461">
        <f t="shared" si="37"/>
        <v>0.77869182413179161</v>
      </c>
      <c r="I101" s="461">
        <f t="shared" si="37"/>
        <v>0.69602569329130659</v>
      </c>
      <c r="J101" s="461">
        <f t="shared" si="37"/>
        <v>0.85297443073030954</v>
      </c>
      <c r="K101" s="461">
        <f t="shared" si="37"/>
        <v>0.290578209124986</v>
      </c>
      <c r="L101" s="461">
        <f t="shared" si="37"/>
        <v>0.181641258514434</v>
      </c>
      <c r="M101" s="461">
        <f t="shared" si="37"/>
        <v>0.86470732492157387</v>
      </c>
      <c r="N101" s="461">
        <v>0</v>
      </c>
      <c r="O101" s="461">
        <f t="shared" si="37"/>
        <v>0.80878919040202035</v>
      </c>
      <c r="P101" s="461">
        <f t="shared" si="37"/>
        <v>1.2062039087707777</v>
      </c>
      <c r="Q101" s="461">
        <f t="shared" si="37"/>
        <v>0.83159870736069874</v>
      </c>
      <c r="R101" s="461">
        <v>0.80578413883486799</v>
      </c>
      <c r="S101" s="462">
        <v>1.4419603963251406</v>
      </c>
    </row>
    <row r="102" spans="1:19" s="542" customFormat="1" ht="25.5">
      <c r="A102" s="587">
        <v>25</v>
      </c>
      <c r="B102" s="588" t="s">
        <v>105</v>
      </c>
      <c r="C102" s="644"/>
      <c r="D102" s="399">
        <v>131936</v>
      </c>
      <c r="E102" s="399">
        <v>13725</v>
      </c>
      <c r="F102" s="399">
        <v>121589</v>
      </c>
      <c r="G102" s="399">
        <f>124810+3552</f>
        <v>128362</v>
      </c>
      <c r="H102" s="399">
        <v>130446</v>
      </c>
      <c r="I102" s="399">
        <v>84083</v>
      </c>
      <c r="J102" s="399">
        <v>148648</v>
      </c>
      <c r="K102" s="399">
        <v>60559</v>
      </c>
      <c r="L102" s="399">
        <v>1829</v>
      </c>
      <c r="M102" s="399">
        <v>21684</v>
      </c>
      <c r="N102" s="399">
        <v>0</v>
      </c>
      <c r="O102" s="399">
        <v>13070</v>
      </c>
      <c r="P102" s="399">
        <v>15741</v>
      </c>
      <c r="Q102" s="400">
        <f>SUM(D102:P102)</f>
        <v>871672</v>
      </c>
      <c r="R102" s="400">
        <v>851734</v>
      </c>
      <c r="S102" s="483">
        <v>1261499</v>
      </c>
    </row>
    <row r="103" spans="1:19" s="452" customFormat="1" ht="25.5">
      <c r="A103" s="612"/>
      <c r="B103" s="405" t="s">
        <v>106</v>
      </c>
      <c r="C103" s="646"/>
      <c r="D103" s="388">
        <f>D102/C5</f>
        <v>4256</v>
      </c>
      <c r="E103" s="388">
        <f>E102/C5</f>
        <v>442.74193548387098</v>
      </c>
      <c r="F103" s="388">
        <f>F102/C5</f>
        <v>3922.2258064516127</v>
      </c>
      <c r="G103" s="388">
        <f>G102/C5</f>
        <v>4140.7096774193551</v>
      </c>
      <c r="H103" s="388">
        <f>H102/C5</f>
        <v>4207.9354838709678</v>
      </c>
      <c r="I103" s="388">
        <f>I102/C5</f>
        <v>2712.3548387096776</v>
      </c>
      <c r="J103" s="388">
        <f>J102/C5</f>
        <v>4795.0967741935483</v>
      </c>
      <c r="K103" s="388">
        <f>K102/C5</f>
        <v>1953.516129032258</v>
      </c>
      <c r="L103" s="388">
        <f>L102/C5</f>
        <v>59</v>
      </c>
      <c r="M103" s="388">
        <f>M102/C5</f>
        <v>699.48387096774195</v>
      </c>
      <c r="N103" s="388">
        <f>N102/C5</f>
        <v>0</v>
      </c>
      <c r="O103" s="388">
        <f>O102/C5</f>
        <v>421.61290322580646</v>
      </c>
      <c r="P103" s="388">
        <f>P102/C5</f>
        <v>507.77419354838707</v>
      </c>
      <c r="Q103" s="388">
        <f>Q102/C5</f>
        <v>28118.451612903227</v>
      </c>
      <c r="R103" s="388">
        <v>27475.290322580644</v>
      </c>
      <c r="S103" s="456">
        <v>40693.516129032258</v>
      </c>
    </row>
    <row r="104" spans="1:19" ht="25.5">
      <c r="A104" s="404"/>
      <c r="B104" s="405" t="s">
        <v>107</v>
      </c>
      <c r="C104" s="406"/>
      <c r="D104" s="399">
        <v>65.17</v>
      </c>
      <c r="E104" s="399">
        <v>73.48</v>
      </c>
      <c r="F104" s="399">
        <v>64.77</v>
      </c>
      <c r="G104" s="399">
        <v>53.77</v>
      </c>
      <c r="H104" s="399">
        <v>67.94</v>
      </c>
      <c r="I104" s="399">
        <v>62.34</v>
      </c>
      <c r="J104" s="399">
        <v>59.37</v>
      </c>
      <c r="K104" s="399">
        <v>67.36</v>
      </c>
      <c r="L104" s="399">
        <v>75.52</v>
      </c>
      <c r="M104" s="399">
        <v>76.89</v>
      </c>
      <c r="N104" s="399">
        <v>0</v>
      </c>
      <c r="O104" s="399">
        <v>72.27</v>
      </c>
      <c r="P104" s="399">
        <v>78.94</v>
      </c>
      <c r="Q104" s="520">
        <v>69.709999999999994</v>
      </c>
      <c r="R104" s="520">
        <v>66.89</v>
      </c>
      <c r="S104" s="521">
        <v>62.32</v>
      </c>
    </row>
    <row r="105" spans="1:19" ht="25.5">
      <c r="A105" s="404"/>
      <c r="B105" s="405" t="s">
        <v>108</v>
      </c>
      <c r="C105" s="406"/>
      <c r="D105" s="399">
        <v>103014</v>
      </c>
      <c r="E105" s="399">
        <v>265071</v>
      </c>
      <c r="F105" s="399">
        <v>132253</v>
      </c>
      <c r="G105" s="399">
        <v>76239</v>
      </c>
      <c r="H105" s="399">
        <v>108272</v>
      </c>
      <c r="I105" s="399">
        <v>40830</v>
      </c>
      <c r="J105" s="399">
        <v>42668</v>
      </c>
      <c r="K105" s="399">
        <v>69530</v>
      </c>
      <c r="L105" s="399">
        <v>106780</v>
      </c>
      <c r="M105" s="399">
        <v>189146</v>
      </c>
      <c r="N105" s="399">
        <v>0</v>
      </c>
      <c r="O105" s="399">
        <v>113900</v>
      </c>
      <c r="P105" s="399">
        <v>81967</v>
      </c>
      <c r="Q105" s="388">
        <f>SUM(D105:P105)</f>
        <v>1329670</v>
      </c>
      <c r="R105" s="388">
        <v>1313515</v>
      </c>
      <c r="S105" s="456">
        <v>786924</v>
      </c>
    </row>
    <row r="106" spans="1:19" ht="25.5">
      <c r="A106" s="404"/>
      <c r="B106" s="405" t="s">
        <v>109</v>
      </c>
      <c r="C106" s="406"/>
      <c r="D106" s="388">
        <f>D105/C5</f>
        <v>3323.0322580645161</v>
      </c>
      <c r="E106" s="388">
        <f>E105/C5</f>
        <v>8550.677419354839</v>
      </c>
      <c r="F106" s="388">
        <f>F105/C5</f>
        <v>4266.2258064516127</v>
      </c>
      <c r="G106" s="388">
        <f>G105/C5</f>
        <v>2459.3225806451615</v>
      </c>
      <c r="H106" s="388">
        <f>H105/C5</f>
        <v>3492.6451612903224</v>
      </c>
      <c r="I106" s="388">
        <f>I105/C5</f>
        <v>1317.0967741935483</v>
      </c>
      <c r="J106" s="388">
        <f>J105/C5</f>
        <v>1376.3870967741937</v>
      </c>
      <c r="K106" s="388">
        <f>K105/C5</f>
        <v>2242.9032258064517</v>
      </c>
      <c r="L106" s="388">
        <f>L105/C5</f>
        <v>3444.516129032258</v>
      </c>
      <c r="M106" s="388">
        <f>M105/C5</f>
        <v>6101.4838709677415</v>
      </c>
      <c r="N106" s="388">
        <f>N105/C5</f>
        <v>0</v>
      </c>
      <c r="O106" s="388">
        <f>O105/C5</f>
        <v>3674.1935483870966</v>
      </c>
      <c r="P106" s="388">
        <f>P105/C5</f>
        <v>2644.0967741935483</v>
      </c>
      <c r="Q106" s="388">
        <f>Q105/C5</f>
        <v>42892.580645161288</v>
      </c>
      <c r="R106" s="388">
        <v>42371.451612903227</v>
      </c>
      <c r="S106" s="456">
        <v>25384.645161290322</v>
      </c>
    </row>
    <row r="107" spans="1:19" s="435" customFormat="1" ht="25.5">
      <c r="A107" s="647"/>
      <c r="B107" s="588" t="s">
        <v>110</v>
      </c>
      <c r="C107" s="648"/>
      <c r="D107" s="399">
        <v>62.59</v>
      </c>
      <c r="E107" s="399">
        <v>55.34</v>
      </c>
      <c r="F107" s="399">
        <v>64.3</v>
      </c>
      <c r="G107" s="399">
        <v>62.74</v>
      </c>
      <c r="H107" s="399">
        <v>73.819999999999993</v>
      </c>
      <c r="I107" s="399">
        <v>67.81</v>
      </c>
      <c r="J107" s="399">
        <v>64.8</v>
      </c>
      <c r="K107" s="399">
        <v>57.46</v>
      </c>
      <c r="L107" s="399">
        <v>62.23</v>
      </c>
      <c r="M107" s="399">
        <v>58.29</v>
      </c>
      <c r="N107" s="399">
        <v>0</v>
      </c>
      <c r="O107" s="399">
        <v>60.23</v>
      </c>
      <c r="P107" s="399">
        <v>50.78</v>
      </c>
      <c r="Q107" s="546">
        <v>64.2</v>
      </c>
      <c r="R107" s="546">
        <v>70.91</v>
      </c>
      <c r="S107" s="547">
        <v>73.040000000000006</v>
      </c>
    </row>
    <row r="108" spans="1:19" s="438" customFormat="1">
      <c r="A108" s="620">
        <v>26</v>
      </c>
      <c r="B108" s="621" t="s">
        <v>111</v>
      </c>
      <c r="C108" s="640"/>
      <c r="D108" s="548">
        <f>SUM(D48/D102)</f>
        <v>3.3001834222653406</v>
      </c>
      <c r="E108" s="548">
        <f>SUM(E48/E102)</f>
        <v>4.0415300546448085</v>
      </c>
      <c r="F108" s="548">
        <f t="shared" ref="F108:O108" si="38">SUM(F48/F102)</f>
        <v>3.0667905813848293</v>
      </c>
      <c r="G108" s="548">
        <f t="shared" si="38"/>
        <v>2.9664620370514636</v>
      </c>
      <c r="H108" s="548">
        <f t="shared" si="38"/>
        <v>3.0435735860049369</v>
      </c>
      <c r="I108" s="548">
        <f t="shared" si="38"/>
        <v>3.1273979282375746</v>
      </c>
      <c r="J108" s="548">
        <f t="shared" si="38"/>
        <v>2.8208183090253485</v>
      </c>
      <c r="K108" s="548">
        <f t="shared" si="38"/>
        <v>4.0017338463316765</v>
      </c>
      <c r="L108" s="548">
        <f t="shared" si="38"/>
        <v>6.2285401858939311</v>
      </c>
      <c r="M108" s="548">
        <f t="shared" si="38"/>
        <v>4.1649603394207713</v>
      </c>
      <c r="N108" s="548">
        <v>0</v>
      </c>
      <c r="O108" s="548">
        <f t="shared" si="38"/>
        <v>3.6220351951032899</v>
      </c>
      <c r="P108" s="548">
        <f>SUM(P48/P102)</f>
        <v>4.1914744933612855</v>
      </c>
      <c r="Q108" s="548">
        <f>SUM(Q48/Q102)</f>
        <v>3.1906588716856801</v>
      </c>
      <c r="R108" s="548">
        <v>3.1692253684835876</v>
      </c>
      <c r="S108" s="549">
        <v>3.3131631416275398</v>
      </c>
    </row>
    <row r="109" spans="1:19" s="438" customFormat="1">
      <c r="A109" s="404"/>
      <c r="B109" s="588" t="s">
        <v>112</v>
      </c>
      <c r="C109" s="406"/>
      <c r="D109" s="520">
        <f t="shared" ref="D109:Q109" si="39">SUM(D49/D105)</f>
        <v>3.1687343467878151</v>
      </c>
      <c r="E109" s="520">
        <f t="shared" si="39"/>
        <v>3.1908281177495841</v>
      </c>
      <c r="F109" s="520">
        <f t="shared" si="39"/>
        <v>3.0375719265347478</v>
      </c>
      <c r="G109" s="520">
        <f t="shared" si="39"/>
        <v>3.4474481564553576</v>
      </c>
      <c r="H109" s="520">
        <f t="shared" si="39"/>
        <v>3.3310458844391904</v>
      </c>
      <c r="I109" s="520">
        <f t="shared" si="39"/>
        <v>3.4122703894195445</v>
      </c>
      <c r="J109" s="520">
        <f t="shared" si="39"/>
        <v>3.0867160401237461</v>
      </c>
      <c r="K109" s="520">
        <f t="shared" si="39"/>
        <v>3.4439378685459512</v>
      </c>
      <c r="L109" s="520">
        <f t="shared" si="39"/>
        <v>3.5023693575575949</v>
      </c>
      <c r="M109" s="520">
        <f t="shared" si="39"/>
        <v>3.2521332727099699</v>
      </c>
      <c r="N109" s="520">
        <v>0</v>
      </c>
      <c r="O109" s="520">
        <f t="shared" si="39"/>
        <v>2.9495083406496927</v>
      </c>
      <c r="P109" s="520">
        <f>SUM(P49/P105)</f>
        <v>2.8362511742530532</v>
      </c>
      <c r="Q109" s="520">
        <f t="shared" si="39"/>
        <v>3.2079087292335693</v>
      </c>
      <c r="R109" s="520">
        <v>3.1981165041891413</v>
      </c>
      <c r="S109" s="521">
        <v>2.9006816414291596</v>
      </c>
    </row>
    <row r="110" spans="1:19" s="438" customFormat="1" ht="25.5">
      <c r="A110" s="594">
        <v>27</v>
      </c>
      <c r="B110" s="588" t="s">
        <v>113</v>
      </c>
      <c r="C110" s="649"/>
      <c r="D110" s="399">
        <v>1178</v>
      </c>
      <c r="E110" s="399">
        <v>675</v>
      </c>
      <c r="F110" s="399">
        <v>1027</v>
      </c>
      <c r="G110" s="399">
        <v>508</v>
      </c>
      <c r="H110" s="399">
        <v>634</v>
      </c>
      <c r="I110" s="399">
        <v>470</v>
      </c>
      <c r="J110" s="399">
        <v>762</v>
      </c>
      <c r="K110" s="399">
        <v>247</v>
      </c>
      <c r="L110" s="399">
        <v>110</v>
      </c>
      <c r="M110" s="399">
        <v>881</v>
      </c>
      <c r="N110" s="399">
        <v>0</v>
      </c>
      <c r="O110" s="399">
        <v>576</v>
      </c>
      <c r="P110" s="399">
        <v>626</v>
      </c>
      <c r="Q110" s="400">
        <f>SUM(D110:P110)</f>
        <v>7694</v>
      </c>
      <c r="R110" s="400">
        <v>7812</v>
      </c>
      <c r="S110" s="483">
        <v>10661</v>
      </c>
    </row>
    <row r="111" spans="1:19" s="438" customFormat="1" ht="25.5">
      <c r="A111" s="404"/>
      <c r="B111" s="588" t="s">
        <v>178</v>
      </c>
      <c r="C111" s="406"/>
      <c r="D111" s="551">
        <f t="shared" ref="D111:Q111" si="40">SUM(D110)/$C5</f>
        <v>38</v>
      </c>
      <c r="E111" s="551">
        <f t="shared" si="40"/>
        <v>21.774193548387096</v>
      </c>
      <c r="F111" s="551">
        <f t="shared" si="40"/>
        <v>33.12903225806452</v>
      </c>
      <c r="G111" s="551">
        <f t="shared" si="40"/>
        <v>16.387096774193548</v>
      </c>
      <c r="H111" s="551">
        <f t="shared" si="40"/>
        <v>20.451612903225808</v>
      </c>
      <c r="I111" s="551">
        <f t="shared" si="40"/>
        <v>15.161290322580646</v>
      </c>
      <c r="J111" s="551">
        <f t="shared" si="40"/>
        <v>24.580645161290324</v>
      </c>
      <c r="K111" s="551">
        <f t="shared" si="40"/>
        <v>7.967741935483871</v>
      </c>
      <c r="L111" s="551">
        <f t="shared" si="40"/>
        <v>3.5483870967741935</v>
      </c>
      <c r="M111" s="551">
        <f t="shared" si="40"/>
        <v>28.419354838709676</v>
      </c>
      <c r="N111" s="551">
        <f t="shared" si="40"/>
        <v>0</v>
      </c>
      <c r="O111" s="551">
        <f t="shared" si="40"/>
        <v>18.580645161290324</v>
      </c>
      <c r="P111" s="551">
        <f t="shared" si="40"/>
        <v>20.193548387096776</v>
      </c>
      <c r="Q111" s="551">
        <f t="shared" si="40"/>
        <v>248.19354838709677</v>
      </c>
      <c r="R111" s="551">
        <v>252</v>
      </c>
      <c r="S111" s="553">
        <v>343.90322580645159</v>
      </c>
    </row>
    <row r="112" spans="1:19" s="438" customFormat="1">
      <c r="A112" s="404">
        <v>28</v>
      </c>
      <c r="B112" s="405" t="s">
        <v>115</v>
      </c>
      <c r="C112" s="633"/>
      <c r="D112" s="551">
        <f t="shared" ref="D112:Q112" si="41">SUM(D50/D110)</f>
        <v>646.72071307300507</v>
      </c>
      <c r="E112" s="551">
        <f t="shared" si="41"/>
        <v>1335.2088888888889</v>
      </c>
      <c r="F112" s="551">
        <f t="shared" si="41"/>
        <v>754.25121713729311</v>
      </c>
      <c r="G112" s="551">
        <f t="shared" si="41"/>
        <v>1266.9507874015749</v>
      </c>
      <c r="H112" s="551">
        <f t="shared" si="41"/>
        <v>1195.0804416403785</v>
      </c>
      <c r="I112" s="551">
        <f t="shared" si="41"/>
        <v>855.92340425531916</v>
      </c>
      <c r="J112" s="551">
        <f t="shared" si="41"/>
        <v>723.11417322834643</v>
      </c>
      <c r="K112" s="551">
        <f t="shared" si="41"/>
        <v>1950.5991902834007</v>
      </c>
      <c r="L112" s="551">
        <f t="shared" si="41"/>
        <v>3503.409090909091</v>
      </c>
      <c r="M112" s="551">
        <f t="shared" si="41"/>
        <v>800.72758229284898</v>
      </c>
      <c r="N112" s="551">
        <v>0</v>
      </c>
      <c r="O112" s="551">
        <f t="shared" si="41"/>
        <v>665.43229166666663</v>
      </c>
      <c r="P112" s="551">
        <f t="shared" si="41"/>
        <v>476.76837060702877</v>
      </c>
      <c r="Q112" s="551">
        <f t="shared" si="41"/>
        <v>915.86534962308292</v>
      </c>
      <c r="R112" s="551">
        <v>883.27073732718895</v>
      </c>
      <c r="S112" s="553">
        <v>604.96698245943162</v>
      </c>
    </row>
    <row r="113" spans="1:19" s="438" customFormat="1" ht="25.5">
      <c r="A113" s="404">
        <v>29</v>
      </c>
      <c r="B113" s="405" t="s">
        <v>116</v>
      </c>
      <c r="C113" s="633"/>
      <c r="D113" s="399">
        <v>20</v>
      </c>
      <c r="E113" s="399">
        <v>24</v>
      </c>
      <c r="F113" s="399">
        <v>11</v>
      </c>
      <c r="G113" s="399">
        <v>24</v>
      </c>
      <c r="H113" s="399">
        <v>6</v>
      </c>
      <c r="I113" s="399">
        <v>7</v>
      </c>
      <c r="J113" s="399">
        <v>22</v>
      </c>
      <c r="K113" s="399">
        <v>20</v>
      </c>
      <c r="L113" s="399">
        <v>18</v>
      </c>
      <c r="M113" s="399">
        <v>15</v>
      </c>
      <c r="N113" s="399">
        <v>0</v>
      </c>
      <c r="O113" s="399">
        <v>17</v>
      </c>
      <c r="P113" s="399">
        <v>18</v>
      </c>
      <c r="Q113" s="554">
        <f>SUM(D113:P113)</f>
        <v>202</v>
      </c>
      <c r="R113" s="554">
        <v>147</v>
      </c>
      <c r="S113" s="555">
        <v>156</v>
      </c>
    </row>
    <row r="114" spans="1:19" s="438" customFormat="1">
      <c r="A114" s="404">
        <v>30</v>
      </c>
      <c r="B114" s="405" t="s">
        <v>180</v>
      </c>
      <c r="C114" s="406"/>
      <c r="D114" s="454">
        <v>46852.5</v>
      </c>
      <c r="E114" s="454">
        <v>49987.166666666664</v>
      </c>
      <c r="F114" s="454">
        <v>64562.454545454544</v>
      </c>
      <c r="G114" s="454">
        <v>53565</v>
      </c>
      <c r="H114" s="454">
        <v>62946</v>
      </c>
      <c r="I114" s="454">
        <v>68306.428571428565</v>
      </c>
      <c r="J114" s="454">
        <v>57301.318181818184</v>
      </c>
      <c r="K114" s="454">
        <v>47897.5</v>
      </c>
      <c r="L114" s="454">
        <v>49730.555555555555</v>
      </c>
      <c r="M114" s="454">
        <v>40492</v>
      </c>
      <c r="N114" s="454">
        <v>0</v>
      </c>
      <c r="O114" s="454">
        <v>49483.529411764706</v>
      </c>
      <c r="P114" s="454">
        <v>50113.333333333336</v>
      </c>
      <c r="Q114" s="388">
        <v>51745.935643564357</v>
      </c>
      <c r="R114" s="388">
        <v>50529.102040816324</v>
      </c>
      <c r="S114" s="556">
        <v>46549.769230769234</v>
      </c>
    </row>
    <row r="115" spans="1:19" s="438" customFormat="1" ht="25.5">
      <c r="A115" s="616">
        <v>31</v>
      </c>
      <c r="B115" s="617" t="s">
        <v>118</v>
      </c>
      <c r="C115" s="648"/>
      <c r="D115" s="399">
        <v>20</v>
      </c>
      <c r="E115" s="399">
        <v>18</v>
      </c>
      <c r="F115" s="399">
        <v>26</v>
      </c>
      <c r="G115" s="399">
        <v>18</v>
      </c>
      <c r="H115" s="399">
        <v>27</v>
      </c>
      <c r="I115" s="399">
        <v>19</v>
      </c>
      <c r="J115" s="399">
        <v>18</v>
      </c>
      <c r="K115" s="399">
        <v>20</v>
      </c>
      <c r="L115" s="399">
        <v>20</v>
      </c>
      <c r="M115" s="399">
        <v>20</v>
      </c>
      <c r="N115" s="399">
        <v>0</v>
      </c>
      <c r="O115" s="399">
        <v>8</v>
      </c>
      <c r="P115" s="399">
        <v>20</v>
      </c>
      <c r="Q115" s="554">
        <f>SUM(D115:P115)</f>
        <v>234</v>
      </c>
      <c r="R115" s="554">
        <v>191</v>
      </c>
      <c r="S115" s="555">
        <v>191</v>
      </c>
    </row>
    <row r="116" spans="1:19" s="435" customFormat="1" ht="15" thickBot="1">
      <c r="A116" s="650">
        <v>32</v>
      </c>
      <c r="B116" s="630" t="s">
        <v>179</v>
      </c>
      <c r="C116" s="635"/>
      <c r="D116" s="558">
        <v>36786</v>
      </c>
      <c r="E116" s="558">
        <v>40234.444444444445</v>
      </c>
      <c r="F116" s="558">
        <v>43063.115384615383</v>
      </c>
      <c r="G116" s="558">
        <v>38029.444444444445</v>
      </c>
      <c r="H116" s="558">
        <v>30683.814814814814</v>
      </c>
      <c r="I116" s="558">
        <v>39348.42105263158</v>
      </c>
      <c r="J116" s="558">
        <v>43934.666666666664</v>
      </c>
      <c r="K116" s="558">
        <v>36861.5</v>
      </c>
      <c r="L116" s="558">
        <v>37427.5</v>
      </c>
      <c r="M116" s="558">
        <v>30772.05</v>
      </c>
      <c r="N116" s="558">
        <v>0</v>
      </c>
      <c r="O116" s="558">
        <v>30757.5</v>
      </c>
      <c r="P116" s="558">
        <v>38653.5</v>
      </c>
      <c r="Q116" s="558">
        <v>37399.01282051282</v>
      </c>
      <c r="R116" s="651">
        <v>37889.277486910993</v>
      </c>
      <c r="S116" s="559">
        <v>39385.963350785343</v>
      </c>
    </row>
    <row r="117" spans="1:19" s="435" customFormat="1" ht="15" thickTop="1">
      <c r="A117" s="677" t="s">
        <v>120</v>
      </c>
      <c r="B117" s="678"/>
      <c r="C117" s="644"/>
      <c r="D117" s="399"/>
      <c r="E117" s="399"/>
      <c r="F117" s="399"/>
      <c r="G117" s="399"/>
      <c r="H117" s="399"/>
      <c r="I117" s="399"/>
      <c r="J117" s="399" t="s">
        <v>121</v>
      </c>
      <c r="K117" s="399"/>
      <c r="L117" s="399"/>
      <c r="M117" s="399"/>
      <c r="N117" s="399"/>
      <c r="O117" s="399"/>
      <c r="P117" s="399"/>
      <c r="Q117" s="399"/>
      <c r="R117" s="399"/>
      <c r="S117" s="560"/>
    </row>
    <row r="118" spans="1:19" s="438" customFormat="1">
      <c r="A118" s="404">
        <v>33</v>
      </c>
      <c r="B118" s="613" t="s">
        <v>122</v>
      </c>
      <c r="C118" s="653" t="s">
        <v>123</v>
      </c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520"/>
      <c r="R118" s="520"/>
      <c r="S118" s="456"/>
    </row>
    <row r="119" spans="1:19" s="438" customFormat="1">
      <c r="A119" s="404"/>
      <c r="B119" s="405" t="s">
        <v>124</v>
      </c>
      <c r="C119" s="654">
        <v>1</v>
      </c>
      <c r="D119" s="401" t="s">
        <v>72</v>
      </c>
      <c r="E119" s="401" t="s">
        <v>72</v>
      </c>
      <c r="F119" s="401" t="s">
        <v>72</v>
      </c>
      <c r="G119" s="401" t="s">
        <v>72</v>
      </c>
      <c r="H119" s="401" t="s">
        <v>72</v>
      </c>
      <c r="I119" s="401" t="s">
        <v>72</v>
      </c>
      <c r="J119" s="401" t="s">
        <v>72</v>
      </c>
      <c r="K119" s="401" t="s">
        <v>72</v>
      </c>
      <c r="L119" s="401" t="s">
        <v>72</v>
      </c>
      <c r="M119" s="401" t="s">
        <v>72</v>
      </c>
      <c r="N119" s="401" t="s">
        <v>72</v>
      </c>
      <c r="O119" s="401" t="s">
        <v>72</v>
      </c>
      <c r="P119" s="401" t="s">
        <v>72</v>
      </c>
      <c r="Q119" s="520">
        <v>0.41905396402398404</v>
      </c>
      <c r="R119" s="520">
        <v>0.42905866302864937</v>
      </c>
      <c r="S119" s="521">
        <v>0.47</v>
      </c>
    </row>
    <row r="120" spans="1:19" s="438" customFormat="1">
      <c r="A120" s="404"/>
      <c r="B120" s="405" t="s">
        <v>125</v>
      </c>
      <c r="C120" s="654">
        <v>6.5</v>
      </c>
      <c r="D120" s="401" t="s">
        <v>72</v>
      </c>
      <c r="E120" s="401" t="s">
        <v>72</v>
      </c>
      <c r="F120" s="401" t="s">
        <v>72</v>
      </c>
      <c r="G120" s="401" t="s">
        <v>72</v>
      </c>
      <c r="H120" s="401" t="s">
        <v>72</v>
      </c>
      <c r="I120" s="401" t="s">
        <v>72</v>
      </c>
      <c r="J120" s="401" t="s">
        <v>72</v>
      </c>
      <c r="K120" s="401" t="s">
        <v>72</v>
      </c>
      <c r="L120" s="401" t="s">
        <v>72</v>
      </c>
      <c r="M120" s="401" t="s">
        <v>72</v>
      </c>
      <c r="N120" s="401" t="s">
        <v>72</v>
      </c>
      <c r="O120" s="401" t="s">
        <v>72</v>
      </c>
      <c r="P120" s="401" t="s">
        <v>72</v>
      </c>
      <c r="Q120" s="520">
        <v>4.9880079946702196</v>
      </c>
      <c r="R120" s="520">
        <v>4.7912687585266029</v>
      </c>
      <c r="S120" s="521">
        <v>5.0199999999999996</v>
      </c>
    </row>
    <row r="121" spans="1:19" s="438" customFormat="1">
      <c r="A121" s="404"/>
      <c r="B121" s="405" t="s">
        <v>126</v>
      </c>
      <c r="C121" s="655">
        <v>1.5</v>
      </c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520">
        <v>0.89073950699533644</v>
      </c>
      <c r="R121" s="520">
        <v>0.91268758526603</v>
      </c>
      <c r="S121" s="521">
        <v>0.99</v>
      </c>
    </row>
    <row r="122" spans="1:19" s="438" customFormat="1" ht="15">
      <c r="A122" s="616"/>
      <c r="B122" s="613" t="s">
        <v>127</v>
      </c>
      <c r="C122" s="656">
        <f>SUM(C119:C121)</f>
        <v>9</v>
      </c>
      <c r="D122" s="401" t="s">
        <v>72</v>
      </c>
      <c r="E122" s="401" t="s">
        <v>72</v>
      </c>
      <c r="F122" s="401" t="s">
        <v>72</v>
      </c>
      <c r="G122" s="401" t="s">
        <v>72</v>
      </c>
      <c r="H122" s="401" t="s">
        <v>72</v>
      </c>
      <c r="I122" s="401" t="s">
        <v>72</v>
      </c>
      <c r="J122" s="401" t="s">
        <v>72</v>
      </c>
      <c r="K122" s="401" t="s">
        <v>72</v>
      </c>
      <c r="L122" s="401" t="s">
        <v>72</v>
      </c>
      <c r="M122" s="401" t="s">
        <v>72</v>
      </c>
      <c r="N122" s="401" t="s">
        <v>72</v>
      </c>
      <c r="O122" s="401" t="s">
        <v>72</v>
      </c>
      <c r="P122" s="401" t="s">
        <v>72</v>
      </c>
      <c r="Q122" s="520">
        <f>SUM(Q119:Q121)</f>
        <v>6.29780146568954</v>
      </c>
      <c r="R122" s="520">
        <v>6.1330150068212825</v>
      </c>
      <c r="S122" s="521">
        <v>6.4799999999999995</v>
      </c>
    </row>
    <row r="123" spans="1:19" s="438" customFormat="1" ht="38.25">
      <c r="A123" s="594">
        <v>34</v>
      </c>
      <c r="B123" s="588" t="s">
        <v>128</v>
      </c>
      <c r="C123" s="644"/>
      <c r="D123" s="400" t="s">
        <v>72</v>
      </c>
      <c r="E123" s="400" t="s">
        <v>72</v>
      </c>
      <c r="F123" s="400" t="s">
        <v>72</v>
      </c>
      <c r="G123" s="400" t="s">
        <v>72</v>
      </c>
      <c r="H123" s="400" t="s">
        <v>72</v>
      </c>
      <c r="I123" s="400" t="s">
        <v>72</v>
      </c>
      <c r="J123" s="400" t="s">
        <v>72</v>
      </c>
      <c r="K123" s="400" t="s">
        <v>72</v>
      </c>
      <c r="L123" s="400" t="s">
        <v>72</v>
      </c>
      <c r="M123" s="400" t="s">
        <v>72</v>
      </c>
      <c r="N123" s="400" t="s">
        <v>72</v>
      </c>
      <c r="O123" s="400" t="s">
        <v>72</v>
      </c>
      <c r="P123" s="400" t="s">
        <v>72</v>
      </c>
      <c r="Q123" s="565">
        <v>1114.93</v>
      </c>
      <c r="R123" s="565">
        <v>1084.02</v>
      </c>
      <c r="S123" s="566">
        <v>1066.47</v>
      </c>
    </row>
    <row r="124" spans="1:19" s="438" customFormat="1" ht="25.5">
      <c r="A124" s="598">
        <v>35</v>
      </c>
      <c r="B124" s="599" t="s">
        <v>129</v>
      </c>
      <c r="C124" s="146">
        <v>54</v>
      </c>
      <c r="D124" s="399">
        <v>190</v>
      </c>
      <c r="E124" s="399">
        <v>247</v>
      </c>
      <c r="F124" s="399">
        <v>140</v>
      </c>
      <c r="G124" s="399">
        <v>23</v>
      </c>
      <c r="H124" s="399">
        <v>149</v>
      </c>
      <c r="I124" s="399">
        <v>39</v>
      </c>
      <c r="J124" s="399">
        <v>129</v>
      </c>
      <c r="K124" s="399">
        <v>53</v>
      </c>
      <c r="L124" s="399">
        <v>88</v>
      </c>
      <c r="M124" s="399">
        <v>183</v>
      </c>
      <c r="N124" s="399">
        <v>56</v>
      </c>
      <c r="O124" s="399">
        <v>31</v>
      </c>
      <c r="P124" s="399">
        <v>240</v>
      </c>
      <c r="Q124" s="554">
        <f>SUM(C124:P124)</f>
        <v>1622</v>
      </c>
      <c r="R124" s="554">
        <v>1620</v>
      </c>
      <c r="S124" s="476">
        <v>1523</v>
      </c>
    </row>
    <row r="125" spans="1:19" s="438" customFormat="1" ht="38.25">
      <c r="A125" s="620">
        <v>36</v>
      </c>
      <c r="B125" s="621" t="s">
        <v>130</v>
      </c>
      <c r="C125" s="657"/>
      <c r="D125" s="407" t="s">
        <v>72</v>
      </c>
      <c r="E125" s="407" t="s">
        <v>72</v>
      </c>
      <c r="F125" s="407" t="s">
        <v>72</v>
      </c>
      <c r="G125" s="407" t="s">
        <v>72</v>
      </c>
      <c r="H125" s="407" t="s">
        <v>72</v>
      </c>
      <c r="I125" s="407" t="s">
        <v>72</v>
      </c>
      <c r="J125" s="407" t="s">
        <v>72</v>
      </c>
      <c r="K125" s="407" t="s">
        <v>72</v>
      </c>
      <c r="L125" s="407" t="s">
        <v>72</v>
      </c>
      <c r="M125" s="407" t="s">
        <v>72</v>
      </c>
      <c r="N125" s="407" t="s">
        <v>72</v>
      </c>
      <c r="O125" s="407" t="s">
        <v>72</v>
      </c>
      <c r="P125" s="407" t="s">
        <v>72</v>
      </c>
      <c r="Q125" s="407">
        <v>957</v>
      </c>
      <c r="R125" s="407">
        <v>1138</v>
      </c>
      <c r="S125" s="568">
        <v>1708</v>
      </c>
    </row>
    <row r="126" spans="1:19" s="438" customFormat="1">
      <c r="A126" s="594">
        <v>37</v>
      </c>
      <c r="B126" s="588" t="s">
        <v>131</v>
      </c>
      <c r="C126" s="595"/>
      <c r="D126" s="400" t="s">
        <v>72</v>
      </c>
      <c r="E126" s="400" t="s">
        <v>72</v>
      </c>
      <c r="F126" s="400" t="s">
        <v>72</v>
      </c>
      <c r="G126" s="400" t="s">
        <v>72</v>
      </c>
      <c r="H126" s="400" t="s">
        <v>72</v>
      </c>
      <c r="I126" s="400" t="s">
        <v>72</v>
      </c>
      <c r="J126" s="400" t="s">
        <v>72</v>
      </c>
      <c r="K126" s="400" t="s">
        <v>72</v>
      </c>
      <c r="L126" s="400" t="s">
        <v>72</v>
      </c>
      <c r="M126" s="400" t="s">
        <v>72</v>
      </c>
      <c r="N126" s="400" t="s">
        <v>72</v>
      </c>
      <c r="O126" s="400" t="s">
        <v>72</v>
      </c>
      <c r="P126" s="400" t="s">
        <v>72</v>
      </c>
      <c r="Q126" s="400">
        <v>321</v>
      </c>
      <c r="R126" s="400">
        <v>318</v>
      </c>
      <c r="S126" s="483">
        <v>315</v>
      </c>
    </row>
    <row r="127" spans="1:19" s="435" customFormat="1">
      <c r="A127" s="603"/>
      <c r="B127" s="599" t="s">
        <v>132</v>
      </c>
      <c r="C127" s="605"/>
      <c r="D127" s="146" t="s">
        <v>72</v>
      </c>
      <c r="E127" s="146" t="s">
        <v>72</v>
      </c>
      <c r="F127" s="146" t="s">
        <v>72</v>
      </c>
      <c r="G127" s="146" t="s">
        <v>72</v>
      </c>
      <c r="H127" s="146" t="s">
        <v>72</v>
      </c>
      <c r="I127" s="146" t="s">
        <v>72</v>
      </c>
      <c r="J127" s="146" t="s">
        <v>72</v>
      </c>
      <c r="K127" s="146" t="s">
        <v>72</v>
      </c>
      <c r="L127" s="146" t="s">
        <v>72</v>
      </c>
      <c r="M127" s="146" t="s">
        <v>72</v>
      </c>
      <c r="N127" s="146" t="s">
        <v>72</v>
      </c>
      <c r="O127" s="146" t="s">
        <v>72</v>
      </c>
      <c r="P127" s="146" t="s">
        <v>72</v>
      </c>
      <c r="Q127" s="461">
        <v>21.08</v>
      </c>
      <c r="R127" s="461">
        <v>21.13</v>
      </c>
      <c r="S127" s="462">
        <v>21.74</v>
      </c>
    </row>
    <row r="128" spans="1:19" s="435" customFormat="1">
      <c r="A128" s="587">
        <v>38</v>
      </c>
      <c r="B128" s="588" t="s">
        <v>133</v>
      </c>
      <c r="C128" s="596"/>
      <c r="D128" s="399" t="s">
        <v>72</v>
      </c>
      <c r="E128" s="399" t="s">
        <v>72</v>
      </c>
      <c r="F128" s="399" t="s">
        <v>72</v>
      </c>
      <c r="G128" s="399" t="s">
        <v>72</v>
      </c>
      <c r="H128" s="399" t="s">
        <v>72</v>
      </c>
      <c r="I128" s="399" t="s">
        <v>72</v>
      </c>
      <c r="J128" s="399" t="s">
        <v>72</v>
      </c>
      <c r="K128" s="399" t="s">
        <v>72</v>
      </c>
      <c r="L128" s="399" t="s">
        <v>72</v>
      </c>
      <c r="M128" s="399" t="s">
        <v>72</v>
      </c>
      <c r="N128" s="399" t="s">
        <v>72</v>
      </c>
      <c r="O128" s="399" t="s">
        <v>72</v>
      </c>
      <c r="P128" s="399" t="s">
        <v>72</v>
      </c>
      <c r="Q128" s="454">
        <v>485479310</v>
      </c>
      <c r="R128" s="454">
        <v>477409535</v>
      </c>
      <c r="S128" s="455">
        <v>440153125</v>
      </c>
    </row>
    <row r="129" spans="1:19" s="438" customFormat="1">
      <c r="A129" s="404"/>
      <c r="B129" s="405" t="s">
        <v>134</v>
      </c>
      <c r="C129" s="590"/>
      <c r="D129" s="401" t="s">
        <v>72</v>
      </c>
      <c r="E129" s="401" t="s">
        <v>72</v>
      </c>
      <c r="F129" s="401" t="s">
        <v>72</v>
      </c>
      <c r="G129" s="401" t="s">
        <v>72</v>
      </c>
      <c r="H129" s="401" t="s">
        <v>72</v>
      </c>
      <c r="I129" s="401" t="s">
        <v>72</v>
      </c>
      <c r="J129" s="401" t="s">
        <v>72</v>
      </c>
      <c r="K129" s="401" t="s">
        <v>72</v>
      </c>
      <c r="L129" s="401" t="s">
        <v>72</v>
      </c>
      <c r="M129" s="401" t="s">
        <v>72</v>
      </c>
      <c r="N129" s="401" t="s">
        <v>72</v>
      </c>
      <c r="O129" s="401" t="s">
        <v>72</v>
      </c>
      <c r="P129" s="401" t="s">
        <v>72</v>
      </c>
      <c r="Q129" s="388">
        <f>Q128/C5</f>
        <v>15660622.903225806</v>
      </c>
      <c r="R129" s="388">
        <v>15400307.580645161</v>
      </c>
      <c r="S129" s="456">
        <v>14198487.903225806</v>
      </c>
    </row>
    <row r="130" spans="1:19" s="435" customFormat="1">
      <c r="A130" s="627"/>
      <c r="B130" s="405" t="s">
        <v>135</v>
      </c>
      <c r="C130" s="628"/>
      <c r="D130" s="408" t="s">
        <v>72</v>
      </c>
      <c r="E130" s="408" t="s">
        <v>72</v>
      </c>
      <c r="F130" s="408" t="s">
        <v>72</v>
      </c>
      <c r="G130" s="408" t="s">
        <v>72</v>
      </c>
      <c r="H130" s="408" t="s">
        <v>72</v>
      </c>
      <c r="I130" s="408" t="s">
        <v>72</v>
      </c>
      <c r="J130" s="408" t="s">
        <v>72</v>
      </c>
      <c r="K130" s="408" t="s">
        <v>72</v>
      </c>
      <c r="L130" s="408" t="s">
        <v>72</v>
      </c>
      <c r="M130" s="408" t="s">
        <v>72</v>
      </c>
      <c r="N130" s="408" t="s">
        <v>72</v>
      </c>
      <c r="O130" s="408" t="s">
        <v>72</v>
      </c>
      <c r="P130" s="408" t="s">
        <v>72</v>
      </c>
      <c r="Q130" s="511">
        <f>SUM(Q129/Q132)</f>
        <v>13.019359419145017</v>
      </c>
      <c r="R130" s="511">
        <v>13.269401011078143</v>
      </c>
      <c r="S130" s="512">
        <v>13.231552508974936</v>
      </c>
    </row>
    <row r="131" spans="1:19" s="438" customFormat="1">
      <c r="A131" s="616"/>
      <c r="B131" s="617" t="s">
        <v>136</v>
      </c>
      <c r="C131" s="600"/>
      <c r="D131" s="399">
        <v>47.93</v>
      </c>
      <c r="E131" s="399">
        <v>47.47</v>
      </c>
      <c r="F131" s="399">
        <v>53.8</v>
      </c>
      <c r="G131" s="399">
        <v>57.08</v>
      </c>
      <c r="H131" s="399">
        <v>50.27</v>
      </c>
      <c r="I131" s="399">
        <v>52.9</v>
      </c>
      <c r="J131" s="399">
        <v>51.29</v>
      </c>
      <c r="K131" s="399">
        <v>42.3</v>
      </c>
      <c r="L131" s="399">
        <v>47.42</v>
      </c>
      <c r="M131" s="399">
        <v>41.4</v>
      </c>
      <c r="N131" s="399">
        <v>53.11</v>
      </c>
      <c r="O131" s="399">
        <v>48.88</v>
      </c>
      <c r="P131" s="399">
        <v>45.44</v>
      </c>
      <c r="Q131" s="492">
        <f>Q128/Q36</f>
        <v>49.047593549769566</v>
      </c>
      <c r="R131" s="492">
        <v>49.038769437027888</v>
      </c>
      <c r="S131" s="493">
        <v>49.662808118217747</v>
      </c>
    </row>
    <row r="132" spans="1:19" s="438" customFormat="1" ht="63.75">
      <c r="A132" s="620">
        <v>39</v>
      </c>
      <c r="B132" s="621" t="s">
        <v>137</v>
      </c>
      <c r="C132" s="657"/>
      <c r="D132" s="407" t="s">
        <v>72</v>
      </c>
      <c r="E132" s="407"/>
      <c r="F132" s="407" t="s">
        <v>72</v>
      </c>
      <c r="G132" s="407" t="s">
        <v>72</v>
      </c>
      <c r="H132" s="407" t="s">
        <v>72</v>
      </c>
      <c r="I132" s="407" t="s">
        <v>72</v>
      </c>
      <c r="J132" s="407" t="s">
        <v>72</v>
      </c>
      <c r="K132" s="407" t="s">
        <v>72</v>
      </c>
      <c r="L132" s="407" t="s">
        <v>72</v>
      </c>
      <c r="M132" s="407" t="s">
        <v>72</v>
      </c>
      <c r="N132" s="407" t="s">
        <v>121</v>
      </c>
      <c r="O132" s="407" t="s">
        <v>72</v>
      </c>
      <c r="P132" s="407" t="s">
        <v>72</v>
      </c>
      <c r="Q132" s="463">
        <v>1202872</v>
      </c>
      <c r="R132" s="463">
        <v>1160588</v>
      </c>
      <c r="S132" s="464">
        <v>1073078</v>
      </c>
    </row>
    <row r="133" spans="1:19" s="438" customFormat="1" ht="38.25">
      <c r="A133" s="404"/>
      <c r="B133" s="405" t="s">
        <v>138</v>
      </c>
      <c r="C133" s="628"/>
      <c r="D133" s="401" t="s">
        <v>72</v>
      </c>
      <c r="E133" s="401" t="s">
        <v>72</v>
      </c>
      <c r="F133" s="401" t="s">
        <v>72</v>
      </c>
      <c r="G133" s="401" t="s">
        <v>72</v>
      </c>
      <c r="H133" s="401" t="s">
        <v>72</v>
      </c>
      <c r="I133" s="401" t="s">
        <v>72</v>
      </c>
      <c r="J133" s="401" t="s">
        <v>72</v>
      </c>
      <c r="K133" s="401" t="s">
        <v>72</v>
      </c>
      <c r="L133" s="401" t="s">
        <v>72</v>
      </c>
      <c r="M133" s="401" t="s">
        <v>72</v>
      </c>
      <c r="N133" s="401" t="s">
        <v>72</v>
      </c>
      <c r="O133" s="401" t="s">
        <v>72</v>
      </c>
      <c r="P133" s="401" t="s">
        <v>72</v>
      </c>
      <c r="Q133" s="388">
        <f>SUM(Q132-Q67)</f>
        <v>300905.45161290304</v>
      </c>
      <c r="R133" s="388">
        <v>286846.83870967745</v>
      </c>
      <c r="S133" s="456">
        <v>271787.41935483878</v>
      </c>
    </row>
    <row r="134" spans="1:19" s="438" customFormat="1" ht="25.5">
      <c r="A134" s="404"/>
      <c r="B134" s="405" t="s">
        <v>139</v>
      </c>
      <c r="C134" s="628"/>
      <c r="D134" s="401" t="s">
        <v>72</v>
      </c>
      <c r="E134" s="401" t="s">
        <v>72</v>
      </c>
      <c r="F134" s="401" t="s">
        <v>72</v>
      </c>
      <c r="G134" s="401" t="s">
        <v>72</v>
      </c>
      <c r="H134" s="401" t="s">
        <v>72</v>
      </c>
      <c r="I134" s="401" t="s">
        <v>72</v>
      </c>
      <c r="J134" s="401" t="s">
        <v>72</v>
      </c>
      <c r="K134" s="401" t="s">
        <v>72</v>
      </c>
      <c r="L134" s="401" t="s">
        <v>72</v>
      </c>
      <c r="M134" s="401" t="s">
        <v>72</v>
      </c>
      <c r="N134" s="401" t="s">
        <v>72</v>
      </c>
      <c r="O134" s="401" t="s">
        <v>72</v>
      </c>
      <c r="P134" s="401" t="s">
        <v>72</v>
      </c>
      <c r="Q134" s="520">
        <f>SUM(Q133/Q132)*100</f>
        <v>25.015583670823084</v>
      </c>
      <c r="R134" s="520">
        <v>24.715647474355883</v>
      </c>
      <c r="S134" s="521">
        <v>25.32783444957764</v>
      </c>
    </row>
    <row r="135" spans="1:19" s="435" customFormat="1" ht="25.5">
      <c r="A135" s="627"/>
      <c r="B135" s="405" t="s">
        <v>140</v>
      </c>
      <c r="C135" s="628"/>
      <c r="D135" s="401" t="s">
        <v>72</v>
      </c>
      <c r="E135" s="401" t="s">
        <v>72</v>
      </c>
      <c r="F135" s="401" t="s">
        <v>72</v>
      </c>
      <c r="G135" s="401" t="s">
        <v>72</v>
      </c>
      <c r="H135" s="401" t="s">
        <v>72</v>
      </c>
      <c r="I135" s="401" t="s">
        <v>72</v>
      </c>
      <c r="J135" s="401" t="s">
        <v>72</v>
      </c>
      <c r="K135" s="401" t="s">
        <v>72</v>
      </c>
      <c r="L135" s="401" t="s">
        <v>72</v>
      </c>
      <c r="M135" s="401" t="s">
        <v>72</v>
      </c>
      <c r="N135" s="401" t="s">
        <v>72</v>
      </c>
      <c r="O135" s="401" t="s">
        <v>72</v>
      </c>
      <c r="P135" s="401" t="s">
        <v>72</v>
      </c>
      <c r="Q135" s="511">
        <f>Q132/Q17</f>
        <v>801.38041305796139</v>
      </c>
      <c r="R135" s="511">
        <v>791.66984993178721</v>
      </c>
      <c r="S135" s="512">
        <v>775.34537572254339</v>
      </c>
    </row>
    <row r="136" spans="1:19" s="435" customFormat="1" ht="26.25" thickBot="1">
      <c r="A136" s="650"/>
      <c r="B136" s="630" t="s">
        <v>141</v>
      </c>
      <c r="C136" s="658"/>
      <c r="D136" s="402" t="s">
        <v>72</v>
      </c>
      <c r="E136" s="402" t="s">
        <v>72</v>
      </c>
      <c r="F136" s="402" t="s">
        <v>72</v>
      </c>
      <c r="G136" s="402" t="s">
        <v>72</v>
      </c>
      <c r="H136" s="402" t="s">
        <v>72</v>
      </c>
      <c r="I136" s="402" t="s">
        <v>72</v>
      </c>
      <c r="J136" s="402" t="s">
        <v>72</v>
      </c>
      <c r="K136" s="402" t="s">
        <v>72</v>
      </c>
      <c r="L136" s="402" t="s">
        <v>72</v>
      </c>
      <c r="M136" s="402" t="s">
        <v>72</v>
      </c>
      <c r="N136" s="402" t="s">
        <v>72</v>
      </c>
      <c r="O136" s="402" t="s">
        <v>72</v>
      </c>
      <c r="P136" s="402" t="s">
        <v>72</v>
      </c>
      <c r="Q136" s="570">
        <f>Q129/Q17</f>
        <v>10433.459629064495</v>
      </c>
      <c r="R136" s="570">
        <v>10504.984707124939</v>
      </c>
      <c r="S136" s="571">
        <v>10259.023051463733</v>
      </c>
    </row>
    <row r="137" spans="1:19" ht="13.5" thickTop="1">
      <c r="A137" s="572"/>
      <c r="C137" s="373"/>
      <c r="S137" s="376"/>
    </row>
    <row r="138" spans="1:19" ht="12.75">
      <c r="A138" s="572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S138" s="376"/>
    </row>
    <row r="139" spans="1:19" ht="12.75">
      <c r="A139" s="572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S139" s="376"/>
    </row>
    <row r="140" spans="1:19">
      <c r="A140" s="374"/>
      <c r="B140" s="574"/>
      <c r="C140" s="374"/>
      <c r="D140" s="374"/>
      <c r="E140" s="374"/>
      <c r="F140" s="374"/>
      <c r="G140" s="374"/>
      <c r="H140" s="374"/>
      <c r="I140" s="374"/>
      <c r="J140" s="374"/>
      <c r="K140" s="374"/>
      <c r="N140" s="373"/>
      <c r="O140" s="373"/>
      <c r="P140" s="373"/>
      <c r="Q140" s="575"/>
      <c r="R140" s="576"/>
      <c r="S140" s="376"/>
    </row>
    <row r="141" spans="1:19">
      <c r="A141" s="374"/>
      <c r="B141" s="574"/>
      <c r="C141" s="374"/>
      <c r="D141" s="374"/>
      <c r="E141" s="374"/>
      <c r="F141" s="374"/>
      <c r="G141" s="374"/>
      <c r="H141" s="374"/>
      <c r="I141" s="374"/>
      <c r="J141" s="374"/>
      <c r="K141" s="374"/>
      <c r="N141" s="373"/>
      <c r="O141" s="373"/>
      <c r="P141" s="373"/>
      <c r="Q141" s="575"/>
      <c r="R141" s="576"/>
      <c r="S141" s="376"/>
    </row>
    <row r="142" spans="1:19">
      <c r="A142" s="374"/>
      <c r="B142" s="574"/>
      <c r="C142" s="374"/>
      <c r="D142" s="374"/>
      <c r="E142" s="374"/>
      <c r="F142" s="374"/>
      <c r="G142" s="374"/>
      <c r="H142" s="374"/>
      <c r="I142" s="374"/>
      <c r="J142" s="374"/>
      <c r="K142" s="374"/>
      <c r="N142" s="373"/>
      <c r="O142" s="373"/>
      <c r="P142" s="373"/>
      <c r="Q142" s="373"/>
      <c r="R142" s="576"/>
      <c r="S142" s="376"/>
    </row>
    <row r="143" spans="1:19" s="578" customFormat="1" ht="16.5">
      <c r="A143" s="670" t="s">
        <v>142</v>
      </c>
      <c r="B143" s="670"/>
      <c r="C143" s="577"/>
      <c r="D143" s="577"/>
      <c r="E143" s="577"/>
      <c r="F143" s="577"/>
      <c r="G143" s="577"/>
      <c r="I143" s="375"/>
      <c r="J143" s="375"/>
      <c r="K143" s="375"/>
      <c r="L143" s="375"/>
      <c r="M143" s="671" t="s">
        <v>143</v>
      </c>
      <c r="N143" s="671"/>
      <c r="O143" s="671"/>
      <c r="P143" s="671"/>
      <c r="Q143" s="671"/>
      <c r="R143" s="671"/>
      <c r="S143" s="579"/>
    </row>
    <row r="144" spans="1:19" s="578" customFormat="1" ht="16.5">
      <c r="A144" s="670" t="s">
        <v>222</v>
      </c>
      <c r="B144" s="670"/>
      <c r="C144" s="577"/>
      <c r="D144" s="577"/>
      <c r="E144" s="577"/>
      <c r="F144" s="577"/>
      <c r="G144" s="577"/>
      <c r="I144" s="375"/>
      <c r="J144" s="375"/>
      <c r="K144" s="375"/>
      <c r="L144" s="375"/>
      <c r="M144" s="671" t="s">
        <v>144</v>
      </c>
      <c r="N144" s="671"/>
      <c r="O144" s="671"/>
      <c r="P144" s="671"/>
      <c r="Q144" s="671"/>
      <c r="R144" s="671"/>
    </row>
    <row r="145" spans="18:18">
      <c r="R145" s="580"/>
    </row>
  </sheetData>
  <mergeCells count="8">
    <mergeCell ref="A144:B144"/>
    <mergeCell ref="M144:R144"/>
    <mergeCell ref="A1:S1"/>
    <mergeCell ref="A2:S2"/>
    <mergeCell ref="A3:S3"/>
    <mergeCell ref="A117:B117"/>
    <mergeCell ref="A143:B143"/>
    <mergeCell ref="M143:R143"/>
  </mergeCells>
  <pageMargins left="0.70866141732283472" right="0.23622047244094491" top="0.74803149606299213" bottom="0.74803149606299213" header="0.31496062992125984" footer="0.31496062992125984"/>
  <pageSetup paperSize="5" scale="80" orientation="landscape" verticalDpi="0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44"/>
  <sheetViews>
    <sheetView topLeftCell="A142" zoomScaleSheetLayoutView="100" workbookViewId="0">
      <selection activeCell="V15" sqref="V15"/>
    </sheetView>
  </sheetViews>
  <sheetFormatPr defaultRowHeight="14.25"/>
  <cols>
    <col min="1" max="1" width="3.7109375" style="31" customWidth="1"/>
    <col min="2" max="2" width="27.28515625" style="154" customWidth="1"/>
    <col min="3" max="3" width="7.140625" style="31" customWidth="1"/>
    <col min="4" max="8" width="10.140625" style="31" customWidth="1"/>
    <col min="9" max="9" width="10.5703125" style="31" customWidth="1"/>
    <col min="10" max="10" width="10.140625" style="31" customWidth="1"/>
    <col min="11" max="12" width="10.140625" style="376" customWidth="1"/>
    <col min="13" max="13" width="10.140625" style="31" customWidth="1"/>
    <col min="14" max="14" width="10.140625" style="376" customWidth="1"/>
    <col min="15" max="15" width="10.140625" style="31" customWidth="1"/>
    <col min="16" max="16" width="11.140625" style="31" customWidth="1"/>
    <col min="17" max="17" width="11.5703125" style="31" customWidth="1"/>
    <col min="18" max="18" width="11.85546875" style="31" customWidth="1"/>
    <col min="19" max="19" width="11.42578125" style="163" customWidth="1"/>
    <col min="20" max="20" width="9.140625" style="31" customWidth="1"/>
    <col min="21" max="21" width="14.28515625" style="31" customWidth="1"/>
    <col min="22" max="25" width="9.140625" style="31" customWidth="1"/>
    <col min="26" max="247" width="9.140625" style="31"/>
    <col min="248" max="248" width="3.7109375" style="31" customWidth="1"/>
    <col min="249" max="249" width="30.42578125" style="31" customWidth="1"/>
    <col min="250" max="250" width="7.140625" style="31" customWidth="1"/>
    <col min="251" max="251" width="10.7109375" style="31" customWidth="1"/>
    <col min="252" max="252" width="10.42578125" style="31" customWidth="1"/>
    <col min="253" max="253" width="10.5703125" style="31" customWidth="1"/>
    <col min="254" max="254" width="10.42578125" style="31" customWidth="1"/>
    <col min="255" max="257" width="10.5703125" style="31" customWidth="1"/>
    <col min="258" max="260" width="10.42578125" style="31" customWidth="1"/>
    <col min="261" max="261" width="10.5703125" style="31" customWidth="1"/>
    <col min="262" max="262" width="10.28515625" style="31" customWidth="1"/>
    <col min="263" max="263" width="10.140625" style="31" customWidth="1"/>
    <col min="264" max="264" width="11.7109375" style="31" customWidth="1"/>
    <col min="265" max="265" width="12.42578125" style="31" customWidth="1"/>
    <col min="266" max="266" width="11.7109375" style="31" customWidth="1"/>
    <col min="267" max="267" width="13.140625" style="31" customWidth="1"/>
    <col min="268" max="503" width="9.140625" style="31"/>
    <col min="504" max="504" width="3.7109375" style="31" customWidth="1"/>
    <col min="505" max="505" width="30.42578125" style="31" customWidth="1"/>
    <col min="506" max="506" width="7.140625" style="31" customWidth="1"/>
    <col min="507" max="507" width="10.7109375" style="31" customWidth="1"/>
    <col min="508" max="508" width="10.42578125" style="31" customWidth="1"/>
    <col min="509" max="509" width="10.5703125" style="31" customWidth="1"/>
    <col min="510" max="510" width="10.42578125" style="31" customWidth="1"/>
    <col min="511" max="513" width="10.5703125" style="31" customWidth="1"/>
    <col min="514" max="516" width="10.42578125" style="31" customWidth="1"/>
    <col min="517" max="517" width="10.5703125" style="31" customWidth="1"/>
    <col min="518" max="518" width="10.28515625" style="31" customWidth="1"/>
    <col min="519" max="519" width="10.140625" style="31" customWidth="1"/>
    <col min="520" max="520" width="11.7109375" style="31" customWidth="1"/>
    <col min="521" max="521" width="12.42578125" style="31" customWidth="1"/>
    <col min="522" max="522" width="11.7109375" style="31" customWidth="1"/>
    <col min="523" max="523" width="13.140625" style="31" customWidth="1"/>
    <col min="524" max="759" width="9.140625" style="31"/>
    <col min="760" max="760" width="3.7109375" style="31" customWidth="1"/>
    <col min="761" max="761" width="30.42578125" style="31" customWidth="1"/>
    <col min="762" max="762" width="7.140625" style="31" customWidth="1"/>
    <col min="763" max="763" width="10.7109375" style="31" customWidth="1"/>
    <col min="764" max="764" width="10.42578125" style="31" customWidth="1"/>
    <col min="765" max="765" width="10.5703125" style="31" customWidth="1"/>
    <col min="766" max="766" width="10.42578125" style="31" customWidth="1"/>
    <col min="767" max="769" width="10.5703125" style="31" customWidth="1"/>
    <col min="770" max="772" width="10.42578125" style="31" customWidth="1"/>
    <col min="773" max="773" width="10.5703125" style="31" customWidth="1"/>
    <col min="774" max="774" width="10.28515625" style="31" customWidth="1"/>
    <col min="775" max="775" width="10.140625" style="31" customWidth="1"/>
    <col min="776" max="776" width="11.7109375" style="31" customWidth="1"/>
    <col min="777" max="777" width="12.42578125" style="31" customWidth="1"/>
    <col min="778" max="778" width="11.7109375" style="31" customWidth="1"/>
    <col min="779" max="779" width="13.140625" style="31" customWidth="1"/>
    <col min="780" max="1015" width="9.140625" style="31"/>
    <col min="1016" max="1016" width="3.7109375" style="31" customWidth="1"/>
    <col min="1017" max="1017" width="30.42578125" style="31" customWidth="1"/>
    <col min="1018" max="1018" width="7.140625" style="31" customWidth="1"/>
    <col min="1019" max="1019" width="10.7109375" style="31" customWidth="1"/>
    <col min="1020" max="1020" width="10.42578125" style="31" customWidth="1"/>
    <col min="1021" max="1021" width="10.5703125" style="31" customWidth="1"/>
    <col min="1022" max="1022" width="10.42578125" style="31" customWidth="1"/>
    <col min="1023" max="1025" width="10.5703125" style="31" customWidth="1"/>
    <col min="1026" max="1028" width="10.42578125" style="31" customWidth="1"/>
    <col min="1029" max="1029" width="10.5703125" style="31" customWidth="1"/>
    <col min="1030" max="1030" width="10.28515625" style="31" customWidth="1"/>
    <col min="1031" max="1031" width="10.140625" style="31" customWidth="1"/>
    <col min="1032" max="1032" width="11.7109375" style="31" customWidth="1"/>
    <col min="1033" max="1033" width="12.42578125" style="31" customWidth="1"/>
    <col min="1034" max="1034" width="11.7109375" style="31" customWidth="1"/>
    <col min="1035" max="1035" width="13.140625" style="31" customWidth="1"/>
    <col min="1036" max="1271" width="9.140625" style="31"/>
    <col min="1272" max="1272" width="3.7109375" style="31" customWidth="1"/>
    <col min="1273" max="1273" width="30.42578125" style="31" customWidth="1"/>
    <col min="1274" max="1274" width="7.140625" style="31" customWidth="1"/>
    <col min="1275" max="1275" width="10.7109375" style="31" customWidth="1"/>
    <col min="1276" max="1276" width="10.42578125" style="31" customWidth="1"/>
    <col min="1277" max="1277" width="10.5703125" style="31" customWidth="1"/>
    <col min="1278" max="1278" width="10.42578125" style="31" customWidth="1"/>
    <col min="1279" max="1281" width="10.5703125" style="31" customWidth="1"/>
    <col min="1282" max="1284" width="10.42578125" style="31" customWidth="1"/>
    <col min="1285" max="1285" width="10.5703125" style="31" customWidth="1"/>
    <col min="1286" max="1286" width="10.28515625" style="31" customWidth="1"/>
    <col min="1287" max="1287" width="10.140625" style="31" customWidth="1"/>
    <col min="1288" max="1288" width="11.7109375" style="31" customWidth="1"/>
    <col min="1289" max="1289" width="12.42578125" style="31" customWidth="1"/>
    <col min="1290" max="1290" width="11.7109375" style="31" customWidth="1"/>
    <col min="1291" max="1291" width="13.140625" style="31" customWidth="1"/>
    <col min="1292" max="1527" width="9.140625" style="31"/>
    <col min="1528" max="1528" width="3.7109375" style="31" customWidth="1"/>
    <col min="1529" max="1529" width="30.42578125" style="31" customWidth="1"/>
    <col min="1530" max="1530" width="7.140625" style="31" customWidth="1"/>
    <col min="1531" max="1531" width="10.7109375" style="31" customWidth="1"/>
    <col min="1532" max="1532" width="10.42578125" style="31" customWidth="1"/>
    <col min="1533" max="1533" width="10.5703125" style="31" customWidth="1"/>
    <col min="1534" max="1534" width="10.42578125" style="31" customWidth="1"/>
    <col min="1535" max="1537" width="10.5703125" style="31" customWidth="1"/>
    <col min="1538" max="1540" width="10.42578125" style="31" customWidth="1"/>
    <col min="1541" max="1541" width="10.5703125" style="31" customWidth="1"/>
    <col min="1542" max="1542" width="10.28515625" style="31" customWidth="1"/>
    <col min="1543" max="1543" width="10.140625" style="31" customWidth="1"/>
    <col min="1544" max="1544" width="11.7109375" style="31" customWidth="1"/>
    <col min="1545" max="1545" width="12.42578125" style="31" customWidth="1"/>
    <col min="1546" max="1546" width="11.7109375" style="31" customWidth="1"/>
    <col min="1547" max="1547" width="13.140625" style="31" customWidth="1"/>
    <col min="1548" max="1783" width="9.140625" style="31"/>
    <col min="1784" max="1784" width="3.7109375" style="31" customWidth="1"/>
    <col min="1785" max="1785" width="30.42578125" style="31" customWidth="1"/>
    <col min="1786" max="1786" width="7.140625" style="31" customWidth="1"/>
    <col min="1787" max="1787" width="10.7109375" style="31" customWidth="1"/>
    <col min="1788" max="1788" width="10.42578125" style="31" customWidth="1"/>
    <col min="1789" max="1789" width="10.5703125" style="31" customWidth="1"/>
    <col min="1790" max="1790" width="10.42578125" style="31" customWidth="1"/>
    <col min="1791" max="1793" width="10.5703125" style="31" customWidth="1"/>
    <col min="1794" max="1796" width="10.42578125" style="31" customWidth="1"/>
    <col min="1797" max="1797" width="10.5703125" style="31" customWidth="1"/>
    <col min="1798" max="1798" width="10.28515625" style="31" customWidth="1"/>
    <col min="1799" max="1799" width="10.140625" style="31" customWidth="1"/>
    <col min="1800" max="1800" width="11.7109375" style="31" customWidth="1"/>
    <col min="1801" max="1801" width="12.42578125" style="31" customWidth="1"/>
    <col min="1802" max="1802" width="11.7109375" style="31" customWidth="1"/>
    <col min="1803" max="1803" width="13.140625" style="31" customWidth="1"/>
    <col min="1804" max="2039" width="9.140625" style="31"/>
    <col min="2040" max="2040" width="3.7109375" style="31" customWidth="1"/>
    <col min="2041" max="2041" width="30.42578125" style="31" customWidth="1"/>
    <col min="2042" max="2042" width="7.140625" style="31" customWidth="1"/>
    <col min="2043" max="2043" width="10.7109375" style="31" customWidth="1"/>
    <col min="2044" max="2044" width="10.42578125" style="31" customWidth="1"/>
    <col min="2045" max="2045" width="10.5703125" style="31" customWidth="1"/>
    <col min="2046" max="2046" width="10.42578125" style="31" customWidth="1"/>
    <col min="2047" max="2049" width="10.5703125" style="31" customWidth="1"/>
    <col min="2050" max="2052" width="10.42578125" style="31" customWidth="1"/>
    <col min="2053" max="2053" width="10.5703125" style="31" customWidth="1"/>
    <col min="2054" max="2054" width="10.28515625" style="31" customWidth="1"/>
    <col min="2055" max="2055" width="10.140625" style="31" customWidth="1"/>
    <col min="2056" max="2056" width="11.7109375" style="31" customWidth="1"/>
    <col min="2057" max="2057" width="12.42578125" style="31" customWidth="1"/>
    <col min="2058" max="2058" width="11.7109375" style="31" customWidth="1"/>
    <col min="2059" max="2059" width="13.140625" style="31" customWidth="1"/>
    <col min="2060" max="2295" width="9.140625" style="31"/>
    <col min="2296" max="2296" width="3.7109375" style="31" customWidth="1"/>
    <col min="2297" max="2297" width="30.42578125" style="31" customWidth="1"/>
    <col min="2298" max="2298" width="7.140625" style="31" customWidth="1"/>
    <col min="2299" max="2299" width="10.7109375" style="31" customWidth="1"/>
    <col min="2300" max="2300" width="10.42578125" style="31" customWidth="1"/>
    <col min="2301" max="2301" width="10.5703125" style="31" customWidth="1"/>
    <col min="2302" max="2302" width="10.42578125" style="31" customWidth="1"/>
    <col min="2303" max="2305" width="10.5703125" style="31" customWidth="1"/>
    <col min="2306" max="2308" width="10.42578125" style="31" customWidth="1"/>
    <col min="2309" max="2309" width="10.5703125" style="31" customWidth="1"/>
    <col min="2310" max="2310" width="10.28515625" style="31" customWidth="1"/>
    <col min="2311" max="2311" width="10.140625" style="31" customWidth="1"/>
    <col min="2312" max="2312" width="11.7109375" style="31" customWidth="1"/>
    <col min="2313" max="2313" width="12.42578125" style="31" customWidth="1"/>
    <col min="2314" max="2314" width="11.7109375" style="31" customWidth="1"/>
    <col min="2315" max="2315" width="13.140625" style="31" customWidth="1"/>
    <col min="2316" max="2551" width="9.140625" style="31"/>
    <col min="2552" max="2552" width="3.7109375" style="31" customWidth="1"/>
    <col min="2553" max="2553" width="30.42578125" style="31" customWidth="1"/>
    <col min="2554" max="2554" width="7.140625" style="31" customWidth="1"/>
    <col min="2555" max="2555" width="10.7109375" style="31" customWidth="1"/>
    <col min="2556" max="2556" width="10.42578125" style="31" customWidth="1"/>
    <col min="2557" max="2557" width="10.5703125" style="31" customWidth="1"/>
    <col min="2558" max="2558" width="10.42578125" style="31" customWidth="1"/>
    <col min="2559" max="2561" width="10.5703125" style="31" customWidth="1"/>
    <col min="2562" max="2564" width="10.42578125" style="31" customWidth="1"/>
    <col min="2565" max="2565" width="10.5703125" style="31" customWidth="1"/>
    <col min="2566" max="2566" width="10.28515625" style="31" customWidth="1"/>
    <col min="2567" max="2567" width="10.140625" style="31" customWidth="1"/>
    <col min="2568" max="2568" width="11.7109375" style="31" customWidth="1"/>
    <col min="2569" max="2569" width="12.42578125" style="31" customWidth="1"/>
    <col min="2570" max="2570" width="11.7109375" style="31" customWidth="1"/>
    <col min="2571" max="2571" width="13.140625" style="31" customWidth="1"/>
    <col min="2572" max="2807" width="9.140625" style="31"/>
    <col min="2808" max="2808" width="3.7109375" style="31" customWidth="1"/>
    <col min="2809" max="2809" width="30.42578125" style="31" customWidth="1"/>
    <col min="2810" max="2810" width="7.140625" style="31" customWidth="1"/>
    <col min="2811" max="2811" width="10.7109375" style="31" customWidth="1"/>
    <col min="2812" max="2812" width="10.42578125" style="31" customWidth="1"/>
    <col min="2813" max="2813" width="10.5703125" style="31" customWidth="1"/>
    <col min="2814" max="2814" width="10.42578125" style="31" customWidth="1"/>
    <col min="2815" max="2817" width="10.5703125" style="31" customWidth="1"/>
    <col min="2818" max="2820" width="10.42578125" style="31" customWidth="1"/>
    <col min="2821" max="2821" width="10.5703125" style="31" customWidth="1"/>
    <col min="2822" max="2822" width="10.28515625" style="31" customWidth="1"/>
    <col min="2823" max="2823" width="10.140625" style="31" customWidth="1"/>
    <col min="2824" max="2824" width="11.7109375" style="31" customWidth="1"/>
    <col min="2825" max="2825" width="12.42578125" style="31" customWidth="1"/>
    <col min="2826" max="2826" width="11.7109375" style="31" customWidth="1"/>
    <col min="2827" max="2827" width="13.140625" style="31" customWidth="1"/>
    <col min="2828" max="3063" width="9.140625" style="31"/>
    <col min="3064" max="3064" width="3.7109375" style="31" customWidth="1"/>
    <col min="3065" max="3065" width="30.42578125" style="31" customWidth="1"/>
    <col min="3066" max="3066" width="7.140625" style="31" customWidth="1"/>
    <col min="3067" max="3067" width="10.7109375" style="31" customWidth="1"/>
    <col min="3068" max="3068" width="10.42578125" style="31" customWidth="1"/>
    <col min="3069" max="3069" width="10.5703125" style="31" customWidth="1"/>
    <col min="3070" max="3070" width="10.42578125" style="31" customWidth="1"/>
    <col min="3071" max="3073" width="10.5703125" style="31" customWidth="1"/>
    <col min="3074" max="3076" width="10.42578125" style="31" customWidth="1"/>
    <col min="3077" max="3077" width="10.5703125" style="31" customWidth="1"/>
    <col min="3078" max="3078" width="10.28515625" style="31" customWidth="1"/>
    <col min="3079" max="3079" width="10.140625" style="31" customWidth="1"/>
    <col min="3080" max="3080" width="11.7109375" style="31" customWidth="1"/>
    <col min="3081" max="3081" width="12.42578125" style="31" customWidth="1"/>
    <col min="3082" max="3082" width="11.7109375" style="31" customWidth="1"/>
    <col min="3083" max="3083" width="13.140625" style="31" customWidth="1"/>
    <col min="3084" max="3319" width="9.140625" style="31"/>
    <col min="3320" max="3320" width="3.7109375" style="31" customWidth="1"/>
    <col min="3321" max="3321" width="30.42578125" style="31" customWidth="1"/>
    <col min="3322" max="3322" width="7.140625" style="31" customWidth="1"/>
    <col min="3323" max="3323" width="10.7109375" style="31" customWidth="1"/>
    <col min="3324" max="3324" width="10.42578125" style="31" customWidth="1"/>
    <col min="3325" max="3325" width="10.5703125" style="31" customWidth="1"/>
    <col min="3326" max="3326" width="10.42578125" style="31" customWidth="1"/>
    <col min="3327" max="3329" width="10.5703125" style="31" customWidth="1"/>
    <col min="3330" max="3332" width="10.42578125" style="31" customWidth="1"/>
    <col min="3333" max="3333" width="10.5703125" style="31" customWidth="1"/>
    <col min="3334" max="3334" width="10.28515625" style="31" customWidth="1"/>
    <col min="3335" max="3335" width="10.140625" style="31" customWidth="1"/>
    <col min="3336" max="3336" width="11.7109375" style="31" customWidth="1"/>
    <col min="3337" max="3337" width="12.42578125" style="31" customWidth="1"/>
    <col min="3338" max="3338" width="11.7109375" style="31" customWidth="1"/>
    <col min="3339" max="3339" width="13.140625" style="31" customWidth="1"/>
    <col min="3340" max="3575" width="9.140625" style="31"/>
    <col min="3576" max="3576" width="3.7109375" style="31" customWidth="1"/>
    <col min="3577" max="3577" width="30.42578125" style="31" customWidth="1"/>
    <col min="3578" max="3578" width="7.140625" style="31" customWidth="1"/>
    <col min="3579" max="3579" width="10.7109375" style="31" customWidth="1"/>
    <col min="3580" max="3580" width="10.42578125" style="31" customWidth="1"/>
    <col min="3581" max="3581" width="10.5703125" style="31" customWidth="1"/>
    <col min="3582" max="3582" width="10.42578125" style="31" customWidth="1"/>
    <col min="3583" max="3585" width="10.5703125" style="31" customWidth="1"/>
    <col min="3586" max="3588" width="10.42578125" style="31" customWidth="1"/>
    <col min="3589" max="3589" width="10.5703125" style="31" customWidth="1"/>
    <col min="3590" max="3590" width="10.28515625" style="31" customWidth="1"/>
    <col min="3591" max="3591" width="10.140625" style="31" customWidth="1"/>
    <col min="3592" max="3592" width="11.7109375" style="31" customWidth="1"/>
    <col min="3593" max="3593" width="12.42578125" style="31" customWidth="1"/>
    <col min="3594" max="3594" width="11.7109375" style="31" customWidth="1"/>
    <col min="3595" max="3595" width="13.140625" style="31" customWidth="1"/>
    <col min="3596" max="3831" width="9.140625" style="31"/>
    <col min="3832" max="3832" width="3.7109375" style="31" customWidth="1"/>
    <col min="3833" max="3833" width="30.42578125" style="31" customWidth="1"/>
    <col min="3834" max="3834" width="7.140625" style="31" customWidth="1"/>
    <col min="3835" max="3835" width="10.7109375" style="31" customWidth="1"/>
    <col min="3836" max="3836" width="10.42578125" style="31" customWidth="1"/>
    <col min="3837" max="3837" width="10.5703125" style="31" customWidth="1"/>
    <col min="3838" max="3838" width="10.42578125" style="31" customWidth="1"/>
    <col min="3839" max="3841" width="10.5703125" style="31" customWidth="1"/>
    <col min="3842" max="3844" width="10.42578125" style="31" customWidth="1"/>
    <col min="3845" max="3845" width="10.5703125" style="31" customWidth="1"/>
    <col min="3846" max="3846" width="10.28515625" style="31" customWidth="1"/>
    <col min="3847" max="3847" width="10.140625" style="31" customWidth="1"/>
    <col min="3848" max="3848" width="11.7109375" style="31" customWidth="1"/>
    <col min="3849" max="3849" width="12.42578125" style="31" customWidth="1"/>
    <col min="3850" max="3850" width="11.7109375" style="31" customWidth="1"/>
    <col min="3851" max="3851" width="13.140625" style="31" customWidth="1"/>
    <col min="3852" max="4087" width="9.140625" style="31"/>
    <col min="4088" max="4088" width="3.7109375" style="31" customWidth="1"/>
    <col min="4089" max="4089" width="30.42578125" style="31" customWidth="1"/>
    <col min="4090" max="4090" width="7.140625" style="31" customWidth="1"/>
    <col min="4091" max="4091" width="10.7109375" style="31" customWidth="1"/>
    <col min="4092" max="4092" width="10.42578125" style="31" customWidth="1"/>
    <col min="4093" max="4093" width="10.5703125" style="31" customWidth="1"/>
    <col min="4094" max="4094" width="10.42578125" style="31" customWidth="1"/>
    <col min="4095" max="4097" width="10.5703125" style="31" customWidth="1"/>
    <col min="4098" max="4100" width="10.42578125" style="31" customWidth="1"/>
    <col min="4101" max="4101" width="10.5703125" style="31" customWidth="1"/>
    <col min="4102" max="4102" width="10.28515625" style="31" customWidth="1"/>
    <col min="4103" max="4103" width="10.140625" style="31" customWidth="1"/>
    <col min="4104" max="4104" width="11.7109375" style="31" customWidth="1"/>
    <col min="4105" max="4105" width="12.42578125" style="31" customWidth="1"/>
    <col min="4106" max="4106" width="11.7109375" style="31" customWidth="1"/>
    <col min="4107" max="4107" width="13.140625" style="31" customWidth="1"/>
    <col min="4108" max="4343" width="9.140625" style="31"/>
    <col min="4344" max="4344" width="3.7109375" style="31" customWidth="1"/>
    <col min="4345" max="4345" width="30.42578125" style="31" customWidth="1"/>
    <col min="4346" max="4346" width="7.140625" style="31" customWidth="1"/>
    <col min="4347" max="4347" width="10.7109375" style="31" customWidth="1"/>
    <col min="4348" max="4348" width="10.42578125" style="31" customWidth="1"/>
    <col min="4349" max="4349" width="10.5703125" style="31" customWidth="1"/>
    <col min="4350" max="4350" width="10.42578125" style="31" customWidth="1"/>
    <col min="4351" max="4353" width="10.5703125" style="31" customWidth="1"/>
    <col min="4354" max="4356" width="10.42578125" style="31" customWidth="1"/>
    <col min="4357" max="4357" width="10.5703125" style="31" customWidth="1"/>
    <col min="4358" max="4358" width="10.28515625" style="31" customWidth="1"/>
    <col min="4359" max="4359" width="10.140625" style="31" customWidth="1"/>
    <col min="4360" max="4360" width="11.7109375" style="31" customWidth="1"/>
    <col min="4361" max="4361" width="12.42578125" style="31" customWidth="1"/>
    <col min="4362" max="4362" width="11.7109375" style="31" customWidth="1"/>
    <col min="4363" max="4363" width="13.140625" style="31" customWidth="1"/>
    <col min="4364" max="4599" width="9.140625" style="31"/>
    <col min="4600" max="4600" width="3.7109375" style="31" customWidth="1"/>
    <col min="4601" max="4601" width="30.42578125" style="31" customWidth="1"/>
    <col min="4602" max="4602" width="7.140625" style="31" customWidth="1"/>
    <col min="4603" max="4603" width="10.7109375" style="31" customWidth="1"/>
    <col min="4604" max="4604" width="10.42578125" style="31" customWidth="1"/>
    <col min="4605" max="4605" width="10.5703125" style="31" customWidth="1"/>
    <col min="4606" max="4606" width="10.42578125" style="31" customWidth="1"/>
    <col min="4607" max="4609" width="10.5703125" style="31" customWidth="1"/>
    <col min="4610" max="4612" width="10.42578125" style="31" customWidth="1"/>
    <col min="4613" max="4613" width="10.5703125" style="31" customWidth="1"/>
    <col min="4614" max="4614" width="10.28515625" style="31" customWidth="1"/>
    <col min="4615" max="4615" width="10.140625" style="31" customWidth="1"/>
    <col min="4616" max="4616" width="11.7109375" style="31" customWidth="1"/>
    <col min="4617" max="4617" width="12.42578125" style="31" customWidth="1"/>
    <col min="4618" max="4618" width="11.7109375" style="31" customWidth="1"/>
    <col min="4619" max="4619" width="13.140625" style="31" customWidth="1"/>
    <col min="4620" max="4855" width="9.140625" style="31"/>
    <col min="4856" max="4856" width="3.7109375" style="31" customWidth="1"/>
    <col min="4857" max="4857" width="30.42578125" style="31" customWidth="1"/>
    <col min="4858" max="4858" width="7.140625" style="31" customWidth="1"/>
    <col min="4859" max="4859" width="10.7109375" style="31" customWidth="1"/>
    <col min="4860" max="4860" width="10.42578125" style="31" customWidth="1"/>
    <col min="4861" max="4861" width="10.5703125" style="31" customWidth="1"/>
    <col min="4862" max="4862" width="10.42578125" style="31" customWidth="1"/>
    <col min="4863" max="4865" width="10.5703125" style="31" customWidth="1"/>
    <col min="4866" max="4868" width="10.42578125" style="31" customWidth="1"/>
    <col min="4869" max="4869" width="10.5703125" style="31" customWidth="1"/>
    <col min="4870" max="4870" width="10.28515625" style="31" customWidth="1"/>
    <col min="4871" max="4871" width="10.140625" style="31" customWidth="1"/>
    <col min="4872" max="4872" width="11.7109375" style="31" customWidth="1"/>
    <col min="4873" max="4873" width="12.42578125" style="31" customWidth="1"/>
    <col min="4874" max="4874" width="11.7109375" style="31" customWidth="1"/>
    <col min="4875" max="4875" width="13.140625" style="31" customWidth="1"/>
    <col min="4876" max="5111" width="9.140625" style="31"/>
    <col min="5112" max="5112" width="3.7109375" style="31" customWidth="1"/>
    <col min="5113" max="5113" width="30.42578125" style="31" customWidth="1"/>
    <col min="5114" max="5114" width="7.140625" style="31" customWidth="1"/>
    <col min="5115" max="5115" width="10.7109375" style="31" customWidth="1"/>
    <col min="5116" max="5116" width="10.42578125" style="31" customWidth="1"/>
    <col min="5117" max="5117" width="10.5703125" style="31" customWidth="1"/>
    <col min="5118" max="5118" width="10.42578125" style="31" customWidth="1"/>
    <col min="5119" max="5121" width="10.5703125" style="31" customWidth="1"/>
    <col min="5122" max="5124" width="10.42578125" style="31" customWidth="1"/>
    <col min="5125" max="5125" width="10.5703125" style="31" customWidth="1"/>
    <col min="5126" max="5126" width="10.28515625" style="31" customWidth="1"/>
    <col min="5127" max="5127" width="10.140625" style="31" customWidth="1"/>
    <col min="5128" max="5128" width="11.7109375" style="31" customWidth="1"/>
    <col min="5129" max="5129" width="12.42578125" style="31" customWidth="1"/>
    <col min="5130" max="5130" width="11.7109375" style="31" customWidth="1"/>
    <col min="5131" max="5131" width="13.140625" style="31" customWidth="1"/>
    <col min="5132" max="5367" width="9.140625" style="31"/>
    <col min="5368" max="5368" width="3.7109375" style="31" customWidth="1"/>
    <col min="5369" max="5369" width="30.42578125" style="31" customWidth="1"/>
    <col min="5370" max="5370" width="7.140625" style="31" customWidth="1"/>
    <col min="5371" max="5371" width="10.7109375" style="31" customWidth="1"/>
    <col min="5372" max="5372" width="10.42578125" style="31" customWidth="1"/>
    <col min="5373" max="5373" width="10.5703125" style="31" customWidth="1"/>
    <col min="5374" max="5374" width="10.42578125" style="31" customWidth="1"/>
    <col min="5375" max="5377" width="10.5703125" style="31" customWidth="1"/>
    <col min="5378" max="5380" width="10.42578125" style="31" customWidth="1"/>
    <col min="5381" max="5381" width="10.5703125" style="31" customWidth="1"/>
    <col min="5382" max="5382" width="10.28515625" style="31" customWidth="1"/>
    <col min="5383" max="5383" width="10.140625" style="31" customWidth="1"/>
    <col min="5384" max="5384" width="11.7109375" style="31" customWidth="1"/>
    <col min="5385" max="5385" width="12.42578125" style="31" customWidth="1"/>
    <col min="5386" max="5386" width="11.7109375" style="31" customWidth="1"/>
    <col min="5387" max="5387" width="13.140625" style="31" customWidth="1"/>
    <col min="5388" max="5623" width="9.140625" style="31"/>
    <col min="5624" max="5624" width="3.7109375" style="31" customWidth="1"/>
    <col min="5625" max="5625" width="30.42578125" style="31" customWidth="1"/>
    <col min="5626" max="5626" width="7.140625" style="31" customWidth="1"/>
    <col min="5627" max="5627" width="10.7109375" style="31" customWidth="1"/>
    <col min="5628" max="5628" width="10.42578125" style="31" customWidth="1"/>
    <col min="5629" max="5629" width="10.5703125" style="31" customWidth="1"/>
    <col min="5630" max="5630" width="10.42578125" style="31" customWidth="1"/>
    <col min="5631" max="5633" width="10.5703125" style="31" customWidth="1"/>
    <col min="5634" max="5636" width="10.42578125" style="31" customWidth="1"/>
    <col min="5637" max="5637" width="10.5703125" style="31" customWidth="1"/>
    <col min="5638" max="5638" width="10.28515625" style="31" customWidth="1"/>
    <col min="5639" max="5639" width="10.140625" style="31" customWidth="1"/>
    <col min="5640" max="5640" width="11.7109375" style="31" customWidth="1"/>
    <col min="5641" max="5641" width="12.42578125" style="31" customWidth="1"/>
    <col min="5642" max="5642" width="11.7109375" style="31" customWidth="1"/>
    <col min="5643" max="5643" width="13.140625" style="31" customWidth="1"/>
    <col min="5644" max="5879" width="9.140625" style="31"/>
    <col min="5880" max="5880" width="3.7109375" style="31" customWidth="1"/>
    <col min="5881" max="5881" width="30.42578125" style="31" customWidth="1"/>
    <col min="5882" max="5882" width="7.140625" style="31" customWidth="1"/>
    <col min="5883" max="5883" width="10.7109375" style="31" customWidth="1"/>
    <col min="5884" max="5884" width="10.42578125" style="31" customWidth="1"/>
    <col min="5885" max="5885" width="10.5703125" style="31" customWidth="1"/>
    <col min="5886" max="5886" width="10.42578125" style="31" customWidth="1"/>
    <col min="5887" max="5889" width="10.5703125" style="31" customWidth="1"/>
    <col min="5890" max="5892" width="10.42578125" style="31" customWidth="1"/>
    <col min="5893" max="5893" width="10.5703125" style="31" customWidth="1"/>
    <col min="5894" max="5894" width="10.28515625" style="31" customWidth="1"/>
    <col min="5895" max="5895" width="10.140625" style="31" customWidth="1"/>
    <col min="5896" max="5896" width="11.7109375" style="31" customWidth="1"/>
    <col min="5897" max="5897" width="12.42578125" style="31" customWidth="1"/>
    <col min="5898" max="5898" width="11.7109375" style="31" customWidth="1"/>
    <col min="5899" max="5899" width="13.140625" style="31" customWidth="1"/>
    <col min="5900" max="6135" width="9.140625" style="31"/>
    <col min="6136" max="6136" width="3.7109375" style="31" customWidth="1"/>
    <col min="6137" max="6137" width="30.42578125" style="31" customWidth="1"/>
    <col min="6138" max="6138" width="7.140625" style="31" customWidth="1"/>
    <col min="6139" max="6139" width="10.7109375" style="31" customWidth="1"/>
    <col min="6140" max="6140" width="10.42578125" style="31" customWidth="1"/>
    <col min="6141" max="6141" width="10.5703125" style="31" customWidth="1"/>
    <col min="6142" max="6142" width="10.42578125" style="31" customWidth="1"/>
    <col min="6143" max="6145" width="10.5703125" style="31" customWidth="1"/>
    <col min="6146" max="6148" width="10.42578125" style="31" customWidth="1"/>
    <col min="6149" max="6149" width="10.5703125" style="31" customWidth="1"/>
    <col min="6150" max="6150" width="10.28515625" style="31" customWidth="1"/>
    <col min="6151" max="6151" width="10.140625" style="31" customWidth="1"/>
    <col min="6152" max="6152" width="11.7109375" style="31" customWidth="1"/>
    <col min="6153" max="6153" width="12.42578125" style="31" customWidth="1"/>
    <col min="6154" max="6154" width="11.7109375" style="31" customWidth="1"/>
    <col min="6155" max="6155" width="13.140625" style="31" customWidth="1"/>
    <col min="6156" max="6391" width="9.140625" style="31"/>
    <col min="6392" max="6392" width="3.7109375" style="31" customWidth="1"/>
    <col min="6393" max="6393" width="30.42578125" style="31" customWidth="1"/>
    <col min="6394" max="6394" width="7.140625" style="31" customWidth="1"/>
    <col min="6395" max="6395" width="10.7109375" style="31" customWidth="1"/>
    <col min="6396" max="6396" width="10.42578125" style="31" customWidth="1"/>
    <col min="6397" max="6397" width="10.5703125" style="31" customWidth="1"/>
    <col min="6398" max="6398" width="10.42578125" style="31" customWidth="1"/>
    <col min="6399" max="6401" width="10.5703125" style="31" customWidth="1"/>
    <col min="6402" max="6404" width="10.42578125" style="31" customWidth="1"/>
    <col min="6405" max="6405" width="10.5703125" style="31" customWidth="1"/>
    <col min="6406" max="6406" width="10.28515625" style="31" customWidth="1"/>
    <col min="6407" max="6407" width="10.140625" style="31" customWidth="1"/>
    <col min="6408" max="6408" width="11.7109375" style="31" customWidth="1"/>
    <col min="6409" max="6409" width="12.42578125" style="31" customWidth="1"/>
    <col min="6410" max="6410" width="11.7109375" style="31" customWidth="1"/>
    <col min="6411" max="6411" width="13.140625" style="31" customWidth="1"/>
    <col min="6412" max="6647" width="9.140625" style="31"/>
    <col min="6648" max="6648" width="3.7109375" style="31" customWidth="1"/>
    <col min="6649" max="6649" width="30.42578125" style="31" customWidth="1"/>
    <col min="6650" max="6650" width="7.140625" style="31" customWidth="1"/>
    <col min="6651" max="6651" width="10.7109375" style="31" customWidth="1"/>
    <col min="6652" max="6652" width="10.42578125" style="31" customWidth="1"/>
    <col min="6653" max="6653" width="10.5703125" style="31" customWidth="1"/>
    <col min="6654" max="6654" width="10.42578125" style="31" customWidth="1"/>
    <col min="6655" max="6657" width="10.5703125" style="31" customWidth="1"/>
    <col min="6658" max="6660" width="10.42578125" style="31" customWidth="1"/>
    <col min="6661" max="6661" width="10.5703125" style="31" customWidth="1"/>
    <col min="6662" max="6662" width="10.28515625" style="31" customWidth="1"/>
    <col min="6663" max="6663" width="10.140625" style="31" customWidth="1"/>
    <col min="6664" max="6664" width="11.7109375" style="31" customWidth="1"/>
    <col min="6665" max="6665" width="12.42578125" style="31" customWidth="1"/>
    <col min="6666" max="6666" width="11.7109375" style="31" customWidth="1"/>
    <col min="6667" max="6667" width="13.140625" style="31" customWidth="1"/>
    <col min="6668" max="6903" width="9.140625" style="31"/>
    <col min="6904" max="6904" width="3.7109375" style="31" customWidth="1"/>
    <col min="6905" max="6905" width="30.42578125" style="31" customWidth="1"/>
    <col min="6906" max="6906" width="7.140625" style="31" customWidth="1"/>
    <col min="6907" max="6907" width="10.7109375" style="31" customWidth="1"/>
    <col min="6908" max="6908" width="10.42578125" style="31" customWidth="1"/>
    <col min="6909" max="6909" width="10.5703125" style="31" customWidth="1"/>
    <col min="6910" max="6910" width="10.42578125" style="31" customWidth="1"/>
    <col min="6911" max="6913" width="10.5703125" style="31" customWidth="1"/>
    <col min="6914" max="6916" width="10.42578125" style="31" customWidth="1"/>
    <col min="6917" max="6917" width="10.5703125" style="31" customWidth="1"/>
    <col min="6918" max="6918" width="10.28515625" style="31" customWidth="1"/>
    <col min="6919" max="6919" width="10.140625" style="31" customWidth="1"/>
    <col min="6920" max="6920" width="11.7109375" style="31" customWidth="1"/>
    <col min="6921" max="6921" width="12.42578125" style="31" customWidth="1"/>
    <col min="6922" max="6922" width="11.7109375" style="31" customWidth="1"/>
    <col min="6923" max="6923" width="13.140625" style="31" customWidth="1"/>
    <col min="6924" max="7159" width="9.140625" style="31"/>
    <col min="7160" max="7160" width="3.7109375" style="31" customWidth="1"/>
    <col min="7161" max="7161" width="30.42578125" style="31" customWidth="1"/>
    <col min="7162" max="7162" width="7.140625" style="31" customWidth="1"/>
    <col min="7163" max="7163" width="10.7109375" style="31" customWidth="1"/>
    <col min="7164" max="7164" width="10.42578125" style="31" customWidth="1"/>
    <col min="7165" max="7165" width="10.5703125" style="31" customWidth="1"/>
    <col min="7166" max="7166" width="10.42578125" style="31" customWidth="1"/>
    <col min="7167" max="7169" width="10.5703125" style="31" customWidth="1"/>
    <col min="7170" max="7172" width="10.42578125" style="31" customWidth="1"/>
    <col min="7173" max="7173" width="10.5703125" style="31" customWidth="1"/>
    <col min="7174" max="7174" width="10.28515625" style="31" customWidth="1"/>
    <col min="7175" max="7175" width="10.140625" style="31" customWidth="1"/>
    <col min="7176" max="7176" width="11.7109375" style="31" customWidth="1"/>
    <col min="7177" max="7177" width="12.42578125" style="31" customWidth="1"/>
    <col min="7178" max="7178" width="11.7109375" style="31" customWidth="1"/>
    <col min="7179" max="7179" width="13.140625" style="31" customWidth="1"/>
    <col min="7180" max="7415" width="9.140625" style="31"/>
    <col min="7416" max="7416" width="3.7109375" style="31" customWidth="1"/>
    <col min="7417" max="7417" width="30.42578125" style="31" customWidth="1"/>
    <col min="7418" max="7418" width="7.140625" style="31" customWidth="1"/>
    <col min="7419" max="7419" width="10.7109375" style="31" customWidth="1"/>
    <col min="7420" max="7420" width="10.42578125" style="31" customWidth="1"/>
    <col min="7421" max="7421" width="10.5703125" style="31" customWidth="1"/>
    <col min="7422" max="7422" width="10.42578125" style="31" customWidth="1"/>
    <col min="7423" max="7425" width="10.5703125" style="31" customWidth="1"/>
    <col min="7426" max="7428" width="10.42578125" style="31" customWidth="1"/>
    <col min="7429" max="7429" width="10.5703125" style="31" customWidth="1"/>
    <col min="7430" max="7430" width="10.28515625" style="31" customWidth="1"/>
    <col min="7431" max="7431" width="10.140625" style="31" customWidth="1"/>
    <col min="7432" max="7432" width="11.7109375" style="31" customWidth="1"/>
    <col min="7433" max="7433" width="12.42578125" style="31" customWidth="1"/>
    <col min="7434" max="7434" width="11.7109375" style="31" customWidth="1"/>
    <col min="7435" max="7435" width="13.140625" style="31" customWidth="1"/>
    <col min="7436" max="7671" width="9.140625" style="31"/>
    <col min="7672" max="7672" width="3.7109375" style="31" customWidth="1"/>
    <col min="7673" max="7673" width="30.42578125" style="31" customWidth="1"/>
    <col min="7674" max="7674" width="7.140625" style="31" customWidth="1"/>
    <col min="7675" max="7675" width="10.7109375" style="31" customWidth="1"/>
    <col min="7676" max="7676" width="10.42578125" style="31" customWidth="1"/>
    <col min="7677" max="7677" width="10.5703125" style="31" customWidth="1"/>
    <col min="7678" max="7678" width="10.42578125" style="31" customWidth="1"/>
    <col min="7679" max="7681" width="10.5703125" style="31" customWidth="1"/>
    <col min="7682" max="7684" width="10.42578125" style="31" customWidth="1"/>
    <col min="7685" max="7685" width="10.5703125" style="31" customWidth="1"/>
    <col min="7686" max="7686" width="10.28515625" style="31" customWidth="1"/>
    <col min="7687" max="7687" width="10.140625" style="31" customWidth="1"/>
    <col min="7688" max="7688" width="11.7109375" style="31" customWidth="1"/>
    <col min="7689" max="7689" width="12.42578125" style="31" customWidth="1"/>
    <col min="7690" max="7690" width="11.7109375" style="31" customWidth="1"/>
    <col min="7691" max="7691" width="13.140625" style="31" customWidth="1"/>
    <col min="7692" max="7927" width="9.140625" style="31"/>
    <col min="7928" max="7928" width="3.7109375" style="31" customWidth="1"/>
    <col min="7929" max="7929" width="30.42578125" style="31" customWidth="1"/>
    <col min="7930" max="7930" width="7.140625" style="31" customWidth="1"/>
    <col min="7931" max="7931" width="10.7109375" style="31" customWidth="1"/>
    <col min="7932" max="7932" width="10.42578125" style="31" customWidth="1"/>
    <col min="7933" max="7933" width="10.5703125" style="31" customWidth="1"/>
    <col min="7934" max="7934" width="10.42578125" style="31" customWidth="1"/>
    <col min="7935" max="7937" width="10.5703125" style="31" customWidth="1"/>
    <col min="7938" max="7940" width="10.42578125" style="31" customWidth="1"/>
    <col min="7941" max="7941" width="10.5703125" style="31" customWidth="1"/>
    <col min="7942" max="7942" width="10.28515625" style="31" customWidth="1"/>
    <col min="7943" max="7943" width="10.140625" style="31" customWidth="1"/>
    <col min="7944" max="7944" width="11.7109375" style="31" customWidth="1"/>
    <col min="7945" max="7945" width="12.42578125" style="31" customWidth="1"/>
    <col min="7946" max="7946" width="11.7109375" style="31" customWidth="1"/>
    <col min="7947" max="7947" width="13.140625" style="31" customWidth="1"/>
    <col min="7948" max="8183" width="9.140625" style="31"/>
    <col min="8184" max="8184" width="3.7109375" style="31" customWidth="1"/>
    <col min="8185" max="8185" width="30.42578125" style="31" customWidth="1"/>
    <col min="8186" max="8186" width="7.140625" style="31" customWidth="1"/>
    <col min="8187" max="8187" width="10.7109375" style="31" customWidth="1"/>
    <col min="8188" max="8188" width="10.42578125" style="31" customWidth="1"/>
    <col min="8189" max="8189" width="10.5703125" style="31" customWidth="1"/>
    <col min="8190" max="8190" width="10.42578125" style="31" customWidth="1"/>
    <col min="8191" max="8193" width="10.5703125" style="31" customWidth="1"/>
    <col min="8194" max="8196" width="10.42578125" style="31" customWidth="1"/>
    <col min="8197" max="8197" width="10.5703125" style="31" customWidth="1"/>
    <col min="8198" max="8198" width="10.28515625" style="31" customWidth="1"/>
    <col min="8199" max="8199" width="10.140625" style="31" customWidth="1"/>
    <col min="8200" max="8200" width="11.7109375" style="31" customWidth="1"/>
    <col min="8201" max="8201" width="12.42578125" style="31" customWidth="1"/>
    <col min="8202" max="8202" width="11.7109375" style="31" customWidth="1"/>
    <col min="8203" max="8203" width="13.140625" style="31" customWidth="1"/>
    <col min="8204" max="8439" width="9.140625" style="31"/>
    <col min="8440" max="8440" width="3.7109375" style="31" customWidth="1"/>
    <col min="8441" max="8441" width="30.42578125" style="31" customWidth="1"/>
    <col min="8442" max="8442" width="7.140625" style="31" customWidth="1"/>
    <col min="8443" max="8443" width="10.7109375" style="31" customWidth="1"/>
    <col min="8444" max="8444" width="10.42578125" style="31" customWidth="1"/>
    <col min="8445" max="8445" width="10.5703125" style="31" customWidth="1"/>
    <col min="8446" max="8446" width="10.42578125" style="31" customWidth="1"/>
    <col min="8447" max="8449" width="10.5703125" style="31" customWidth="1"/>
    <col min="8450" max="8452" width="10.42578125" style="31" customWidth="1"/>
    <col min="8453" max="8453" width="10.5703125" style="31" customWidth="1"/>
    <col min="8454" max="8454" width="10.28515625" style="31" customWidth="1"/>
    <col min="8455" max="8455" width="10.140625" style="31" customWidth="1"/>
    <col min="8456" max="8456" width="11.7109375" style="31" customWidth="1"/>
    <col min="8457" max="8457" width="12.42578125" style="31" customWidth="1"/>
    <col min="8458" max="8458" width="11.7109375" style="31" customWidth="1"/>
    <col min="8459" max="8459" width="13.140625" style="31" customWidth="1"/>
    <col min="8460" max="8695" width="9.140625" style="31"/>
    <col min="8696" max="8696" width="3.7109375" style="31" customWidth="1"/>
    <col min="8697" max="8697" width="30.42578125" style="31" customWidth="1"/>
    <col min="8698" max="8698" width="7.140625" style="31" customWidth="1"/>
    <col min="8699" max="8699" width="10.7109375" style="31" customWidth="1"/>
    <col min="8700" max="8700" width="10.42578125" style="31" customWidth="1"/>
    <col min="8701" max="8701" width="10.5703125" style="31" customWidth="1"/>
    <col min="8702" max="8702" width="10.42578125" style="31" customWidth="1"/>
    <col min="8703" max="8705" width="10.5703125" style="31" customWidth="1"/>
    <col min="8706" max="8708" width="10.42578125" style="31" customWidth="1"/>
    <col min="8709" max="8709" width="10.5703125" style="31" customWidth="1"/>
    <col min="8710" max="8710" width="10.28515625" style="31" customWidth="1"/>
    <col min="8711" max="8711" width="10.140625" style="31" customWidth="1"/>
    <col min="8712" max="8712" width="11.7109375" style="31" customWidth="1"/>
    <col min="8713" max="8713" width="12.42578125" style="31" customWidth="1"/>
    <col min="8714" max="8714" width="11.7109375" style="31" customWidth="1"/>
    <col min="8715" max="8715" width="13.140625" style="31" customWidth="1"/>
    <col min="8716" max="8951" width="9.140625" style="31"/>
    <col min="8952" max="8952" width="3.7109375" style="31" customWidth="1"/>
    <col min="8953" max="8953" width="30.42578125" style="31" customWidth="1"/>
    <col min="8954" max="8954" width="7.140625" style="31" customWidth="1"/>
    <col min="8955" max="8955" width="10.7109375" style="31" customWidth="1"/>
    <col min="8956" max="8956" width="10.42578125" style="31" customWidth="1"/>
    <col min="8957" max="8957" width="10.5703125" style="31" customWidth="1"/>
    <col min="8958" max="8958" width="10.42578125" style="31" customWidth="1"/>
    <col min="8959" max="8961" width="10.5703125" style="31" customWidth="1"/>
    <col min="8962" max="8964" width="10.42578125" style="31" customWidth="1"/>
    <col min="8965" max="8965" width="10.5703125" style="31" customWidth="1"/>
    <col min="8966" max="8966" width="10.28515625" style="31" customWidth="1"/>
    <col min="8967" max="8967" width="10.140625" style="31" customWidth="1"/>
    <col min="8968" max="8968" width="11.7109375" style="31" customWidth="1"/>
    <col min="8969" max="8969" width="12.42578125" style="31" customWidth="1"/>
    <col min="8970" max="8970" width="11.7109375" style="31" customWidth="1"/>
    <col min="8971" max="8971" width="13.140625" style="31" customWidth="1"/>
    <col min="8972" max="9207" width="9.140625" style="31"/>
    <col min="9208" max="9208" width="3.7109375" style="31" customWidth="1"/>
    <col min="9209" max="9209" width="30.42578125" style="31" customWidth="1"/>
    <col min="9210" max="9210" width="7.140625" style="31" customWidth="1"/>
    <col min="9211" max="9211" width="10.7109375" style="31" customWidth="1"/>
    <col min="9212" max="9212" width="10.42578125" style="31" customWidth="1"/>
    <col min="9213" max="9213" width="10.5703125" style="31" customWidth="1"/>
    <col min="9214" max="9214" width="10.42578125" style="31" customWidth="1"/>
    <col min="9215" max="9217" width="10.5703125" style="31" customWidth="1"/>
    <col min="9218" max="9220" width="10.42578125" style="31" customWidth="1"/>
    <col min="9221" max="9221" width="10.5703125" style="31" customWidth="1"/>
    <col min="9222" max="9222" width="10.28515625" style="31" customWidth="1"/>
    <col min="9223" max="9223" width="10.140625" style="31" customWidth="1"/>
    <col min="9224" max="9224" width="11.7109375" style="31" customWidth="1"/>
    <col min="9225" max="9225" width="12.42578125" style="31" customWidth="1"/>
    <col min="9226" max="9226" width="11.7109375" style="31" customWidth="1"/>
    <col min="9227" max="9227" width="13.140625" style="31" customWidth="1"/>
    <col min="9228" max="9463" width="9.140625" style="31"/>
    <col min="9464" max="9464" width="3.7109375" style="31" customWidth="1"/>
    <col min="9465" max="9465" width="30.42578125" style="31" customWidth="1"/>
    <col min="9466" max="9466" width="7.140625" style="31" customWidth="1"/>
    <col min="9467" max="9467" width="10.7109375" style="31" customWidth="1"/>
    <col min="9468" max="9468" width="10.42578125" style="31" customWidth="1"/>
    <col min="9469" max="9469" width="10.5703125" style="31" customWidth="1"/>
    <col min="9470" max="9470" width="10.42578125" style="31" customWidth="1"/>
    <col min="9471" max="9473" width="10.5703125" style="31" customWidth="1"/>
    <col min="9474" max="9476" width="10.42578125" style="31" customWidth="1"/>
    <col min="9477" max="9477" width="10.5703125" style="31" customWidth="1"/>
    <col min="9478" max="9478" width="10.28515625" style="31" customWidth="1"/>
    <col min="9479" max="9479" width="10.140625" style="31" customWidth="1"/>
    <col min="9480" max="9480" width="11.7109375" style="31" customWidth="1"/>
    <col min="9481" max="9481" width="12.42578125" style="31" customWidth="1"/>
    <col min="9482" max="9482" width="11.7109375" style="31" customWidth="1"/>
    <col min="9483" max="9483" width="13.140625" style="31" customWidth="1"/>
    <col min="9484" max="9719" width="9.140625" style="31"/>
    <col min="9720" max="9720" width="3.7109375" style="31" customWidth="1"/>
    <col min="9721" max="9721" width="30.42578125" style="31" customWidth="1"/>
    <col min="9722" max="9722" width="7.140625" style="31" customWidth="1"/>
    <col min="9723" max="9723" width="10.7109375" style="31" customWidth="1"/>
    <col min="9724" max="9724" width="10.42578125" style="31" customWidth="1"/>
    <col min="9725" max="9725" width="10.5703125" style="31" customWidth="1"/>
    <col min="9726" max="9726" width="10.42578125" style="31" customWidth="1"/>
    <col min="9727" max="9729" width="10.5703125" style="31" customWidth="1"/>
    <col min="9730" max="9732" width="10.42578125" style="31" customWidth="1"/>
    <col min="9733" max="9733" width="10.5703125" style="31" customWidth="1"/>
    <col min="9734" max="9734" width="10.28515625" style="31" customWidth="1"/>
    <col min="9735" max="9735" width="10.140625" style="31" customWidth="1"/>
    <col min="9736" max="9736" width="11.7109375" style="31" customWidth="1"/>
    <col min="9737" max="9737" width="12.42578125" style="31" customWidth="1"/>
    <col min="9738" max="9738" width="11.7109375" style="31" customWidth="1"/>
    <col min="9739" max="9739" width="13.140625" style="31" customWidth="1"/>
    <col min="9740" max="9975" width="9.140625" style="31"/>
    <col min="9976" max="9976" width="3.7109375" style="31" customWidth="1"/>
    <col min="9977" max="9977" width="30.42578125" style="31" customWidth="1"/>
    <col min="9978" max="9978" width="7.140625" style="31" customWidth="1"/>
    <col min="9979" max="9979" width="10.7109375" style="31" customWidth="1"/>
    <col min="9980" max="9980" width="10.42578125" style="31" customWidth="1"/>
    <col min="9981" max="9981" width="10.5703125" style="31" customWidth="1"/>
    <col min="9982" max="9982" width="10.42578125" style="31" customWidth="1"/>
    <col min="9983" max="9985" width="10.5703125" style="31" customWidth="1"/>
    <col min="9986" max="9988" width="10.42578125" style="31" customWidth="1"/>
    <col min="9989" max="9989" width="10.5703125" style="31" customWidth="1"/>
    <col min="9990" max="9990" width="10.28515625" style="31" customWidth="1"/>
    <col min="9991" max="9991" width="10.140625" style="31" customWidth="1"/>
    <col min="9992" max="9992" width="11.7109375" style="31" customWidth="1"/>
    <col min="9993" max="9993" width="12.42578125" style="31" customWidth="1"/>
    <col min="9994" max="9994" width="11.7109375" style="31" customWidth="1"/>
    <col min="9995" max="9995" width="13.140625" style="31" customWidth="1"/>
    <col min="9996" max="10231" width="9.140625" style="31"/>
    <col min="10232" max="10232" width="3.7109375" style="31" customWidth="1"/>
    <col min="10233" max="10233" width="30.42578125" style="31" customWidth="1"/>
    <col min="10234" max="10234" width="7.140625" style="31" customWidth="1"/>
    <col min="10235" max="10235" width="10.7109375" style="31" customWidth="1"/>
    <col min="10236" max="10236" width="10.42578125" style="31" customWidth="1"/>
    <col min="10237" max="10237" width="10.5703125" style="31" customWidth="1"/>
    <col min="10238" max="10238" width="10.42578125" style="31" customWidth="1"/>
    <col min="10239" max="10241" width="10.5703125" style="31" customWidth="1"/>
    <col min="10242" max="10244" width="10.42578125" style="31" customWidth="1"/>
    <col min="10245" max="10245" width="10.5703125" style="31" customWidth="1"/>
    <col min="10246" max="10246" width="10.28515625" style="31" customWidth="1"/>
    <col min="10247" max="10247" width="10.140625" style="31" customWidth="1"/>
    <col min="10248" max="10248" width="11.7109375" style="31" customWidth="1"/>
    <col min="10249" max="10249" width="12.42578125" style="31" customWidth="1"/>
    <col min="10250" max="10250" width="11.7109375" style="31" customWidth="1"/>
    <col min="10251" max="10251" width="13.140625" style="31" customWidth="1"/>
    <col min="10252" max="10487" width="9.140625" style="31"/>
    <col min="10488" max="10488" width="3.7109375" style="31" customWidth="1"/>
    <col min="10489" max="10489" width="30.42578125" style="31" customWidth="1"/>
    <col min="10490" max="10490" width="7.140625" style="31" customWidth="1"/>
    <col min="10491" max="10491" width="10.7109375" style="31" customWidth="1"/>
    <col min="10492" max="10492" width="10.42578125" style="31" customWidth="1"/>
    <col min="10493" max="10493" width="10.5703125" style="31" customWidth="1"/>
    <col min="10494" max="10494" width="10.42578125" style="31" customWidth="1"/>
    <col min="10495" max="10497" width="10.5703125" style="31" customWidth="1"/>
    <col min="10498" max="10500" width="10.42578125" style="31" customWidth="1"/>
    <col min="10501" max="10501" width="10.5703125" style="31" customWidth="1"/>
    <col min="10502" max="10502" width="10.28515625" style="31" customWidth="1"/>
    <col min="10503" max="10503" width="10.140625" style="31" customWidth="1"/>
    <col min="10504" max="10504" width="11.7109375" style="31" customWidth="1"/>
    <col min="10505" max="10505" width="12.42578125" style="31" customWidth="1"/>
    <col min="10506" max="10506" width="11.7109375" style="31" customWidth="1"/>
    <col min="10507" max="10507" width="13.140625" style="31" customWidth="1"/>
    <col min="10508" max="10743" width="9.140625" style="31"/>
    <col min="10744" max="10744" width="3.7109375" style="31" customWidth="1"/>
    <col min="10745" max="10745" width="30.42578125" style="31" customWidth="1"/>
    <col min="10746" max="10746" width="7.140625" style="31" customWidth="1"/>
    <col min="10747" max="10747" width="10.7109375" style="31" customWidth="1"/>
    <col min="10748" max="10748" width="10.42578125" style="31" customWidth="1"/>
    <col min="10749" max="10749" width="10.5703125" style="31" customWidth="1"/>
    <col min="10750" max="10750" width="10.42578125" style="31" customWidth="1"/>
    <col min="10751" max="10753" width="10.5703125" style="31" customWidth="1"/>
    <col min="10754" max="10756" width="10.42578125" style="31" customWidth="1"/>
    <col min="10757" max="10757" width="10.5703125" style="31" customWidth="1"/>
    <col min="10758" max="10758" width="10.28515625" style="31" customWidth="1"/>
    <col min="10759" max="10759" width="10.140625" style="31" customWidth="1"/>
    <col min="10760" max="10760" width="11.7109375" style="31" customWidth="1"/>
    <col min="10761" max="10761" width="12.42578125" style="31" customWidth="1"/>
    <col min="10762" max="10762" width="11.7109375" style="31" customWidth="1"/>
    <col min="10763" max="10763" width="13.140625" style="31" customWidth="1"/>
    <col min="10764" max="10999" width="9.140625" style="31"/>
    <col min="11000" max="11000" width="3.7109375" style="31" customWidth="1"/>
    <col min="11001" max="11001" width="30.42578125" style="31" customWidth="1"/>
    <col min="11002" max="11002" width="7.140625" style="31" customWidth="1"/>
    <col min="11003" max="11003" width="10.7109375" style="31" customWidth="1"/>
    <col min="11004" max="11004" width="10.42578125" style="31" customWidth="1"/>
    <col min="11005" max="11005" width="10.5703125" style="31" customWidth="1"/>
    <col min="11006" max="11006" width="10.42578125" style="31" customWidth="1"/>
    <col min="11007" max="11009" width="10.5703125" style="31" customWidth="1"/>
    <col min="11010" max="11012" width="10.42578125" style="31" customWidth="1"/>
    <col min="11013" max="11013" width="10.5703125" style="31" customWidth="1"/>
    <col min="11014" max="11014" width="10.28515625" style="31" customWidth="1"/>
    <col min="11015" max="11015" width="10.140625" style="31" customWidth="1"/>
    <col min="11016" max="11016" width="11.7109375" style="31" customWidth="1"/>
    <col min="11017" max="11017" width="12.42578125" style="31" customWidth="1"/>
    <col min="11018" max="11018" width="11.7109375" style="31" customWidth="1"/>
    <col min="11019" max="11019" width="13.140625" style="31" customWidth="1"/>
    <col min="11020" max="11255" width="9.140625" style="31"/>
    <col min="11256" max="11256" width="3.7109375" style="31" customWidth="1"/>
    <col min="11257" max="11257" width="30.42578125" style="31" customWidth="1"/>
    <col min="11258" max="11258" width="7.140625" style="31" customWidth="1"/>
    <col min="11259" max="11259" width="10.7109375" style="31" customWidth="1"/>
    <col min="11260" max="11260" width="10.42578125" style="31" customWidth="1"/>
    <col min="11261" max="11261" width="10.5703125" style="31" customWidth="1"/>
    <col min="11262" max="11262" width="10.42578125" style="31" customWidth="1"/>
    <col min="11263" max="11265" width="10.5703125" style="31" customWidth="1"/>
    <col min="11266" max="11268" width="10.42578125" style="31" customWidth="1"/>
    <col min="11269" max="11269" width="10.5703125" style="31" customWidth="1"/>
    <col min="11270" max="11270" width="10.28515625" style="31" customWidth="1"/>
    <col min="11271" max="11271" width="10.140625" style="31" customWidth="1"/>
    <col min="11272" max="11272" width="11.7109375" style="31" customWidth="1"/>
    <col min="11273" max="11273" width="12.42578125" style="31" customWidth="1"/>
    <col min="11274" max="11274" width="11.7109375" style="31" customWidth="1"/>
    <col min="11275" max="11275" width="13.140625" style="31" customWidth="1"/>
    <col min="11276" max="11511" width="9.140625" style="31"/>
    <col min="11512" max="11512" width="3.7109375" style="31" customWidth="1"/>
    <col min="11513" max="11513" width="30.42578125" style="31" customWidth="1"/>
    <col min="11514" max="11514" width="7.140625" style="31" customWidth="1"/>
    <col min="11515" max="11515" width="10.7109375" style="31" customWidth="1"/>
    <col min="11516" max="11516" width="10.42578125" style="31" customWidth="1"/>
    <col min="11517" max="11517" width="10.5703125" style="31" customWidth="1"/>
    <col min="11518" max="11518" width="10.42578125" style="31" customWidth="1"/>
    <col min="11519" max="11521" width="10.5703125" style="31" customWidth="1"/>
    <col min="11522" max="11524" width="10.42578125" style="31" customWidth="1"/>
    <col min="11525" max="11525" width="10.5703125" style="31" customWidth="1"/>
    <col min="11526" max="11526" width="10.28515625" style="31" customWidth="1"/>
    <col min="11527" max="11527" width="10.140625" style="31" customWidth="1"/>
    <col min="11528" max="11528" width="11.7109375" style="31" customWidth="1"/>
    <col min="11529" max="11529" width="12.42578125" style="31" customWidth="1"/>
    <col min="11530" max="11530" width="11.7109375" style="31" customWidth="1"/>
    <col min="11531" max="11531" width="13.140625" style="31" customWidth="1"/>
    <col min="11532" max="11767" width="9.140625" style="31"/>
    <col min="11768" max="11768" width="3.7109375" style="31" customWidth="1"/>
    <col min="11769" max="11769" width="30.42578125" style="31" customWidth="1"/>
    <col min="11770" max="11770" width="7.140625" style="31" customWidth="1"/>
    <col min="11771" max="11771" width="10.7109375" style="31" customWidth="1"/>
    <col min="11772" max="11772" width="10.42578125" style="31" customWidth="1"/>
    <col min="11773" max="11773" width="10.5703125" style="31" customWidth="1"/>
    <col min="11774" max="11774" width="10.42578125" style="31" customWidth="1"/>
    <col min="11775" max="11777" width="10.5703125" style="31" customWidth="1"/>
    <col min="11778" max="11780" width="10.42578125" style="31" customWidth="1"/>
    <col min="11781" max="11781" width="10.5703125" style="31" customWidth="1"/>
    <col min="11782" max="11782" width="10.28515625" style="31" customWidth="1"/>
    <col min="11783" max="11783" width="10.140625" style="31" customWidth="1"/>
    <col min="11784" max="11784" width="11.7109375" style="31" customWidth="1"/>
    <col min="11785" max="11785" width="12.42578125" style="31" customWidth="1"/>
    <col min="11786" max="11786" width="11.7109375" style="31" customWidth="1"/>
    <col min="11787" max="11787" width="13.140625" style="31" customWidth="1"/>
    <col min="11788" max="12023" width="9.140625" style="31"/>
    <col min="12024" max="12024" width="3.7109375" style="31" customWidth="1"/>
    <col min="12025" max="12025" width="30.42578125" style="31" customWidth="1"/>
    <col min="12026" max="12026" width="7.140625" style="31" customWidth="1"/>
    <col min="12027" max="12027" width="10.7109375" style="31" customWidth="1"/>
    <col min="12028" max="12028" width="10.42578125" style="31" customWidth="1"/>
    <col min="12029" max="12029" width="10.5703125" style="31" customWidth="1"/>
    <col min="12030" max="12030" width="10.42578125" style="31" customWidth="1"/>
    <col min="12031" max="12033" width="10.5703125" style="31" customWidth="1"/>
    <col min="12034" max="12036" width="10.42578125" style="31" customWidth="1"/>
    <col min="12037" max="12037" width="10.5703125" style="31" customWidth="1"/>
    <col min="12038" max="12038" width="10.28515625" style="31" customWidth="1"/>
    <col min="12039" max="12039" width="10.140625" style="31" customWidth="1"/>
    <col min="12040" max="12040" width="11.7109375" style="31" customWidth="1"/>
    <col min="12041" max="12041" width="12.42578125" style="31" customWidth="1"/>
    <col min="12042" max="12042" width="11.7109375" style="31" customWidth="1"/>
    <col min="12043" max="12043" width="13.140625" style="31" customWidth="1"/>
    <col min="12044" max="12279" width="9.140625" style="31"/>
    <col min="12280" max="12280" width="3.7109375" style="31" customWidth="1"/>
    <col min="12281" max="12281" width="30.42578125" style="31" customWidth="1"/>
    <col min="12282" max="12282" width="7.140625" style="31" customWidth="1"/>
    <col min="12283" max="12283" width="10.7109375" style="31" customWidth="1"/>
    <col min="12284" max="12284" width="10.42578125" style="31" customWidth="1"/>
    <col min="12285" max="12285" width="10.5703125" style="31" customWidth="1"/>
    <col min="12286" max="12286" width="10.42578125" style="31" customWidth="1"/>
    <col min="12287" max="12289" width="10.5703125" style="31" customWidth="1"/>
    <col min="12290" max="12292" width="10.42578125" style="31" customWidth="1"/>
    <col min="12293" max="12293" width="10.5703125" style="31" customWidth="1"/>
    <col min="12294" max="12294" width="10.28515625" style="31" customWidth="1"/>
    <col min="12295" max="12295" width="10.140625" style="31" customWidth="1"/>
    <col min="12296" max="12296" width="11.7109375" style="31" customWidth="1"/>
    <col min="12297" max="12297" width="12.42578125" style="31" customWidth="1"/>
    <col min="12298" max="12298" width="11.7109375" style="31" customWidth="1"/>
    <col min="12299" max="12299" width="13.140625" style="31" customWidth="1"/>
    <col min="12300" max="12535" width="9.140625" style="31"/>
    <col min="12536" max="12536" width="3.7109375" style="31" customWidth="1"/>
    <col min="12537" max="12537" width="30.42578125" style="31" customWidth="1"/>
    <col min="12538" max="12538" width="7.140625" style="31" customWidth="1"/>
    <col min="12539" max="12539" width="10.7109375" style="31" customWidth="1"/>
    <col min="12540" max="12540" width="10.42578125" style="31" customWidth="1"/>
    <col min="12541" max="12541" width="10.5703125" style="31" customWidth="1"/>
    <col min="12542" max="12542" width="10.42578125" style="31" customWidth="1"/>
    <col min="12543" max="12545" width="10.5703125" style="31" customWidth="1"/>
    <col min="12546" max="12548" width="10.42578125" style="31" customWidth="1"/>
    <col min="12549" max="12549" width="10.5703125" style="31" customWidth="1"/>
    <col min="12550" max="12550" width="10.28515625" style="31" customWidth="1"/>
    <col min="12551" max="12551" width="10.140625" style="31" customWidth="1"/>
    <col min="12552" max="12552" width="11.7109375" style="31" customWidth="1"/>
    <col min="12553" max="12553" width="12.42578125" style="31" customWidth="1"/>
    <col min="12554" max="12554" width="11.7109375" style="31" customWidth="1"/>
    <col min="12555" max="12555" width="13.140625" style="31" customWidth="1"/>
    <col min="12556" max="12791" width="9.140625" style="31"/>
    <col min="12792" max="12792" width="3.7109375" style="31" customWidth="1"/>
    <col min="12793" max="12793" width="30.42578125" style="31" customWidth="1"/>
    <col min="12794" max="12794" width="7.140625" style="31" customWidth="1"/>
    <col min="12795" max="12795" width="10.7109375" style="31" customWidth="1"/>
    <col min="12796" max="12796" width="10.42578125" style="31" customWidth="1"/>
    <col min="12797" max="12797" width="10.5703125" style="31" customWidth="1"/>
    <col min="12798" max="12798" width="10.42578125" style="31" customWidth="1"/>
    <col min="12799" max="12801" width="10.5703125" style="31" customWidth="1"/>
    <col min="12802" max="12804" width="10.42578125" style="31" customWidth="1"/>
    <col min="12805" max="12805" width="10.5703125" style="31" customWidth="1"/>
    <col min="12806" max="12806" width="10.28515625" style="31" customWidth="1"/>
    <col min="12807" max="12807" width="10.140625" style="31" customWidth="1"/>
    <col min="12808" max="12808" width="11.7109375" style="31" customWidth="1"/>
    <col min="12809" max="12809" width="12.42578125" style="31" customWidth="1"/>
    <col min="12810" max="12810" width="11.7109375" style="31" customWidth="1"/>
    <col min="12811" max="12811" width="13.140625" style="31" customWidth="1"/>
    <col min="12812" max="13047" width="9.140625" style="31"/>
    <col min="13048" max="13048" width="3.7109375" style="31" customWidth="1"/>
    <col min="13049" max="13049" width="30.42578125" style="31" customWidth="1"/>
    <col min="13050" max="13050" width="7.140625" style="31" customWidth="1"/>
    <col min="13051" max="13051" width="10.7109375" style="31" customWidth="1"/>
    <col min="13052" max="13052" width="10.42578125" style="31" customWidth="1"/>
    <col min="13053" max="13053" width="10.5703125" style="31" customWidth="1"/>
    <col min="13054" max="13054" width="10.42578125" style="31" customWidth="1"/>
    <col min="13055" max="13057" width="10.5703125" style="31" customWidth="1"/>
    <col min="13058" max="13060" width="10.42578125" style="31" customWidth="1"/>
    <col min="13061" max="13061" width="10.5703125" style="31" customWidth="1"/>
    <col min="13062" max="13062" width="10.28515625" style="31" customWidth="1"/>
    <col min="13063" max="13063" width="10.140625" style="31" customWidth="1"/>
    <col min="13064" max="13064" width="11.7109375" style="31" customWidth="1"/>
    <col min="13065" max="13065" width="12.42578125" style="31" customWidth="1"/>
    <col min="13066" max="13066" width="11.7109375" style="31" customWidth="1"/>
    <col min="13067" max="13067" width="13.140625" style="31" customWidth="1"/>
    <col min="13068" max="13303" width="9.140625" style="31"/>
    <col min="13304" max="13304" width="3.7109375" style="31" customWidth="1"/>
    <col min="13305" max="13305" width="30.42578125" style="31" customWidth="1"/>
    <col min="13306" max="13306" width="7.140625" style="31" customWidth="1"/>
    <col min="13307" max="13307" width="10.7109375" style="31" customWidth="1"/>
    <col min="13308" max="13308" width="10.42578125" style="31" customWidth="1"/>
    <col min="13309" max="13309" width="10.5703125" style="31" customWidth="1"/>
    <col min="13310" max="13310" width="10.42578125" style="31" customWidth="1"/>
    <col min="13311" max="13313" width="10.5703125" style="31" customWidth="1"/>
    <col min="13314" max="13316" width="10.42578125" style="31" customWidth="1"/>
    <col min="13317" max="13317" width="10.5703125" style="31" customWidth="1"/>
    <col min="13318" max="13318" width="10.28515625" style="31" customWidth="1"/>
    <col min="13319" max="13319" width="10.140625" style="31" customWidth="1"/>
    <col min="13320" max="13320" width="11.7109375" style="31" customWidth="1"/>
    <col min="13321" max="13321" width="12.42578125" style="31" customWidth="1"/>
    <col min="13322" max="13322" width="11.7109375" style="31" customWidth="1"/>
    <col min="13323" max="13323" width="13.140625" style="31" customWidth="1"/>
    <col min="13324" max="13559" width="9.140625" style="31"/>
    <col min="13560" max="13560" width="3.7109375" style="31" customWidth="1"/>
    <col min="13561" max="13561" width="30.42578125" style="31" customWidth="1"/>
    <col min="13562" max="13562" width="7.140625" style="31" customWidth="1"/>
    <col min="13563" max="13563" width="10.7109375" style="31" customWidth="1"/>
    <col min="13564" max="13564" width="10.42578125" style="31" customWidth="1"/>
    <col min="13565" max="13565" width="10.5703125" style="31" customWidth="1"/>
    <col min="13566" max="13566" width="10.42578125" style="31" customWidth="1"/>
    <col min="13567" max="13569" width="10.5703125" style="31" customWidth="1"/>
    <col min="13570" max="13572" width="10.42578125" style="31" customWidth="1"/>
    <col min="13573" max="13573" width="10.5703125" style="31" customWidth="1"/>
    <col min="13574" max="13574" width="10.28515625" style="31" customWidth="1"/>
    <col min="13575" max="13575" width="10.140625" style="31" customWidth="1"/>
    <col min="13576" max="13576" width="11.7109375" style="31" customWidth="1"/>
    <col min="13577" max="13577" width="12.42578125" style="31" customWidth="1"/>
    <col min="13578" max="13578" width="11.7109375" style="31" customWidth="1"/>
    <col min="13579" max="13579" width="13.140625" style="31" customWidth="1"/>
    <col min="13580" max="13815" width="9.140625" style="31"/>
    <col min="13816" max="13816" width="3.7109375" style="31" customWidth="1"/>
    <col min="13817" max="13817" width="30.42578125" style="31" customWidth="1"/>
    <col min="13818" max="13818" width="7.140625" style="31" customWidth="1"/>
    <col min="13819" max="13819" width="10.7109375" style="31" customWidth="1"/>
    <col min="13820" max="13820" width="10.42578125" style="31" customWidth="1"/>
    <col min="13821" max="13821" width="10.5703125" style="31" customWidth="1"/>
    <col min="13822" max="13822" width="10.42578125" style="31" customWidth="1"/>
    <col min="13823" max="13825" width="10.5703125" style="31" customWidth="1"/>
    <col min="13826" max="13828" width="10.42578125" style="31" customWidth="1"/>
    <col min="13829" max="13829" width="10.5703125" style="31" customWidth="1"/>
    <col min="13830" max="13830" width="10.28515625" style="31" customWidth="1"/>
    <col min="13831" max="13831" width="10.140625" style="31" customWidth="1"/>
    <col min="13832" max="13832" width="11.7109375" style="31" customWidth="1"/>
    <col min="13833" max="13833" width="12.42578125" style="31" customWidth="1"/>
    <col min="13834" max="13834" width="11.7109375" style="31" customWidth="1"/>
    <col min="13835" max="13835" width="13.140625" style="31" customWidth="1"/>
    <col min="13836" max="14071" width="9.140625" style="31"/>
    <col min="14072" max="14072" width="3.7109375" style="31" customWidth="1"/>
    <col min="14073" max="14073" width="30.42578125" style="31" customWidth="1"/>
    <col min="14074" max="14074" width="7.140625" style="31" customWidth="1"/>
    <col min="14075" max="14075" width="10.7109375" style="31" customWidth="1"/>
    <col min="14076" max="14076" width="10.42578125" style="31" customWidth="1"/>
    <col min="14077" max="14077" width="10.5703125" style="31" customWidth="1"/>
    <col min="14078" max="14078" width="10.42578125" style="31" customWidth="1"/>
    <col min="14079" max="14081" width="10.5703125" style="31" customWidth="1"/>
    <col min="14082" max="14084" width="10.42578125" style="31" customWidth="1"/>
    <col min="14085" max="14085" width="10.5703125" style="31" customWidth="1"/>
    <col min="14086" max="14086" width="10.28515625" style="31" customWidth="1"/>
    <col min="14087" max="14087" width="10.140625" style="31" customWidth="1"/>
    <col min="14088" max="14088" width="11.7109375" style="31" customWidth="1"/>
    <col min="14089" max="14089" width="12.42578125" style="31" customWidth="1"/>
    <col min="14090" max="14090" width="11.7109375" style="31" customWidth="1"/>
    <col min="14091" max="14091" width="13.140625" style="31" customWidth="1"/>
    <col min="14092" max="14327" width="9.140625" style="31"/>
    <col min="14328" max="14328" width="3.7109375" style="31" customWidth="1"/>
    <col min="14329" max="14329" width="30.42578125" style="31" customWidth="1"/>
    <col min="14330" max="14330" width="7.140625" style="31" customWidth="1"/>
    <col min="14331" max="14331" width="10.7109375" style="31" customWidth="1"/>
    <col min="14332" max="14332" width="10.42578125" style="31" customWidth="1"/>
    <col min="14333" max="14333" width="10.5703125" style="31" customWidth="1"/>
    <col min="14334" max="14334" width="10.42578125" style="31" customWidth="1"/>
    <col min="14335" max="14337" width="10.5703125" style="31" customWidth="1"/>
    <col min="14338" max="14340" width="10.42578125" style="31" customWidth="1"/>
    <col min="14341" max="14341" width="10.5703125" style="31" customWidth="1"/>
    <col min="14342" max="14342" width="10.28515625" style="31" customWidth="1"/>
    <col min="14343" max="14343" width="10.140625" style="31" customWidth="1"/>
    <col min="14344" max="14344" width="11.7109375" style="31" customWidth="1"/>
    <col min="14345" max="14345" width="12.42578125" style="31" customWidth="1"/>
    <col min="14346" max="14346" width="11.7109375" style="31" customWidth="1"/>
    <col min="14347" max="14347" width="13.140625" style="31" customWidth="1"/>
    <col min="14348" max="14583" width="9.140625" style="31"/>
    <col min="14584" max="14584" width="3.7109375" style="31" customWidth="1"/>
    <col min="14585" max="14585" width="30.42578125" style="31" customWidth="1"/>
    <col min="14586" max="14586" width="7.140625" style="31" customWidth="1"/>
    <col min="14587" max="14587" width="10.7109375" style="31" customWidth="1"/>
    <col min="14588" max="14588" width="10.42578125" style="31" customWidth="1"/>
    <col min="14589" max="14589" width="10.5703125" style="31" customWidth="1"/>
    <col min="14590" max="14590" width="10.42578125" style="31" customWidth="1"/>
    <col min="14591" max="14593" width="10.5703125" style="31" customWidth="1"/>
    <col min="14594" max="14596" width="10.42578125" style="31" customWidth="1"/>
    <col min="14597" max="14597" width="10.5703125" style="31" customWidth="1"/>
    <col min="14598" max="14598" width="10.28515625" style="31" customWidth="1"/>
    <col min="14599" max="14599" width="10.140625" style="31" customWidth="1"/>
    <col min="14600" max="14600" width="11.7109375" style="31" customWidth="1"/>
    <col min="14601" max="14601" width="12.42578125" style="31" customWidth="1"/>
    <col min="14602" max="14602" width="11.7109375" style="31" customWidth="1"/>
    <col min="14603" max="14603" width="13.140625" style="31" customWidth="1"/>
    <col min="14604" max="14839" width="9.140625" style="31"/>
    <col min="14840" max="14840" width="3.7109375" style="31" customWidth="1"/>
    <col min="14841" max="14841" width="30.42578125" style="31" customWidth="1"/>
    <col min="14842" max="14842" width="7.140625" style="31" customWidth="1"/>
    <col min="14843" max="14843" width="10.7109375" style="31" customWidth="1"/>
    <col min="14844" max="14844" width="10.42578125" style="31" customWidth="1"/>
    <col min="14845" max="14845" width="10.5703125" style="31" customWidth="1"/>
    <col min="14846" max="14846" width="10.42578125" style="31" customWidth="1"/>
    <col min="14847" max="14849" width="10.5703125" style="31" customWidth="1"/>
    <col min="14850" max="14852" width="10.42578125" style="31" customWidth="1"/>
    <col min="14853" max="14853" width="10.5703125" style="31" customWidth="1"/>
    <col min="14854" max="14854" width="10.28515625" style="31" customWidth="1"/>
    <col min="14855" max="14855" width="10.140625" style="31" customWidth="1"/>
    <col min="14856" max="14856" width="11.7109375" style="31" customWidth="1"/>
    <col min="14857" max="14857" width="12.42578125" style="31" customWidth="1"/>
    <col min="14858" max="14858" width="11.7109375" style="31" customWidth="1"/>
    <col min="14859" max="14859" width="13.140625" style="31" customWidth="1"/>
    <col min="14860" max="15095" width="9.140625" style="31"/>
    <col min="15096" max="15096" width="3.7109375" style="31" customWidth="1"/>
    <col min="15097" max="15097" width="30.42578125" style="31" customWidth="1"/>
    <col min="15098" max="15098" width="7.140625" style="31" customWidth="1"/>
    <col min="15099" max="15099" width="10.7109375" style="31" customWidth="1"/>
    <col min="15100" max="15100" width="10.42578125" style="31" customWidth="1"/>
    <col min="15101" max="15101" width="10.5703125" style="31" customWidth="1"/>
    <col min="15102" max="15102" width="10.42578125" style="31" customWidth="1"/>
    <col min="15103" max="15105" width="10.5703125" style="31" customWidth="1"/>
    <col min="15106" max="15108" width="10.42578125" style="31" customWidth="1"/>
    <col min="15109" max="15109" width="10.5703125" style="31" customWidth="1"/>
    <col min="15110" max="15110" width="10.28515625" style="31" customWidth="1"/>
    <col min="15111" max="15111" width="10.140625" style="31" customWidth="1"/>
    <col min="15112" max="15112" width="11.7109375" style="31" customWidth="1"/>
    <col min="15113" max="15113" width="12.42578125" style="31" customWidth="1"/>
    <col min="15114" max="15114" width="11.7109375" style="31" customWidth="1"/>
    <col min="15115" max="15115" width="13.140625" style="31" customWidth="1"/>
    <col min="15116" max="15351" width="9.140625" style="31"/>
    <col min="15352" max="15352" width="3.7109375" style="31" customWidth="1"/>
    <col min="15353" max="15353" width="30.42578125" style="31" customWidth="1"/>
    <col min="15354" max="15354" width="7.140625" style="31" customWidth="1"/>
    <col min="15355" max="15355" width="10.7109375" style="31" customWidth="1"/>
    <col min="15356" max="15356" width="10.42578125" style="31" customWidth="1"/>
    <col min="15357" max="15357" width="10.5703125" style="31" customWidth="1"/>
    <col min="15358" max="15358" width="10.42578125" style="31" customWidth="1"/>
    <col min="15359" max="15361" width="10.5703125" style="31" customWidth="1"/>
    <col min="15362" max="15364" width="10.42578125" style="31" customWidth="1"/>
    <col min="15365" max="15365" width="10.5703125" style="31" customWidth="1"/>
    <col min="15366" max="15366" width="10.28515625" style="31" customWidth="1"/>
    <col min="15367" max="15367" width="10.140625" style="31" customWidth="1"/>
    <col min="15368" max="15368" width="11.7109375" style="31" customWidth="1"/>
    <col min="15369" max="15369" width="12.42578125" style="31" customWidth="1"/>
    <col min="15370" max="15370" width="11.7109375" style="31" customWidth="1"/>
    <col min="15371" max="15371" width="13.140625" style="31" customWidth="1"/>
    <col min="15372" max="15607" width="9.140625" style="31"/>
    <col min="15608" max="15608" width="3.7109375" style="31" customWidth="1"/>
    <col min="15609" max="15609" width="30.42578125" style="31" customWidth="1"/>
    <col min="15610" max="15610" width="7.140625" style="31" customWidth="1"/>
    <col min="15611" max="15611" width="10.7109375" style="31" customWidth="1"/>
    <col min="15612" max="15612" width="10.42578125" style="31" customWidth="1"/>
    <col min="15613" max="15613" width="10.5703125" style="31" customWidth="1"/>
    <col min="15614" max="15614" width="10.42578125" style="31" customWidth="1"/>
    <col min="15615" max="15617" width="10.5703125" style="31" customWidth="1"/>
    <col min="15618" max="15620" width="10.42578125" style="31" customWidth="1"/>
    <col min="15621" max="15621" width="10.5703125" style="31" customWidth="1"/>
    <col min="15622" max="15622" width="10.28515625" style="31" customWidth="1"/>
    <col min="15623" max="15623" width="10.140625" style="31" customWidth="1"/>
    <col min="15624" max="15624" width="11.7109375" style="31" customWidth="1"/>
    <col min="15625" max="15625" width="12.42578125" style="31" customWidth="1"/>
    <col min="15626" max="15626" width="11.7109375" style="31" customWidth="1"/>
    <col min="15627" max="15627" width="13.140625" style="31" customWidth="1"/>
    <col min="15628" max="15863" width="9.140625" style="31"/>
    <col min="15864" max="15864" width="3.7109375" style="31" customWidth="1"/>
    <col min="15865" max="15865" width="30.42578125" style="31" customWidth="1"/>
    <col min="15866" max="15866" width="7.140625" style="31" customWidth="1"/>
    <col min="15867" max="15867" width="10.7109375" style="31" customWidth="1"/>
    <col min="15868" max="15868" width="10.42578125" style="31" customWidth="1"/>
    <col min="15869" max="15869" width="10.5703125" style="31" customWidth="1"/>
    <col min="15870" max="15870" width="10.42578125" style="31" customWidth="1"/>
    <col min="15871" max="15873" width="10.5703125" style="31" customWidth="1"/>
    <col min="15874" max="15876" width="10.42578125" style="31" customWidth="1"/>
    <col min="15877" max="15877" width="10.5703125" style="31" customWidth="1"/>
    <col min="15878" max="15878" width="10.28515625" style="31" customWidth="1"/>
    <col min="15879" max="15879" width="10.140625" style="31" customWidth="1"/>
    <col min="15880" max="15880" width="11.7109375" style="31" customWidth="1"/>
    <col min="15881" max="15881" width="12.42578125" style="31" customWidth="1"/>
    <col min="15882" max="15882" width="11.7109375" style="31" customWidth="1"/>
    <col min="15883" max="15883" width="13.140625" style="31" customWidth="1"/>
    <col min="15884" max="16119" width="9.140625" style="31"/>
    <col min="16120" max="16120" width="3.7109375" style="31" customWidth="1"/>
    <col min="16121" max="16121" width="30.42578125" style="31" customWidth="1"/>
    <col min="16122" max="16122" width="7.140625" style="31" customWidth="1"/>
    <col min="16123" max="16123" width="10.7109375" style="31" customWidth="1"/>
    <col min="16124" max="16124" width="10.42578125" style="31" customWidth="1"/>
    <col min="16125" max="16125" width="10.5703125" style="31" customWidth="1"/>
    <col min="16126" max="16126" width="10.42578125" style="31" customWidth="1"/>
    <col min="16127" max="16129" width="10.5703125" style="31" customWidth="1"/>
    <col min="16130" max="16132" width="10.42578125" style="31" customWidth="1"/>
    <col min="16133" max="16133" width="10.5703125" style="31" customWidth="1"/>
    <col min="16134" max="16134" width="10.28515625" style="31" customWidth="1"/>
    <col min="16135" max="16135" width="10.140625" style="31" customWidth="1"/>
    <col min="16136" max="16136" width="11.7109375" style="31" customWidth="1"/>
    <col min="16137" max="16137" width="12.42578125" style="31" customWidth="1"/>
    <col min="16138" max="16138" width="11.7109375" style="31" customWidth="1"/>
    <col min="16139" max="16139" width="13.140625" style="31" customWidth="1"/>
    <col min="16140" max="16384" width="9.140625" style="31"/>
  </cols>
  <sheetData>
    <row r="1" spans="1:30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30" s="1" customFormat="1" ht="18">
      <c r="A2" s="663" t="s">
        <v>240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30" s="1" customFormat="1" ht="18.75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30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344" t="s">
        <v>10</v>
      </c>
      <c r="L4" s="344" t="s">
        <v>11</v>
      </c>
      <c r="M4" s="204" t="s">
        <v>12</v>
      </c>
      <c r="N4" s="344" t="s">
        <v>13</v>
      </c>
      <c r="O4" s="7" t="s">
        <v>14</v>
      </c>
      <c r="P4" s="204" t="s">
        <v>15</v>
      </c>
      <c r="Q4" s="6" t="s">
        <v>225</v>
      </c>
      <c r="R4" s="6" t="s">
        <v>241</v>
      </c>
      <c r="S4" s="8" t="s">
        <v>226</v>
      </c>
    </row>
    <row r="5" spans="1:30" s="15" customFormat="1" ht="32.1" customHeight="1">
      <c r="A5" s="10" t="s">
        <v>16</v>
      </c>
      <c r="B5" s="11" t="s">
        <v>224</v>
      </c>
      <c r="C5" s="12">
        <v>29</v>
      </c>
      <c r="D5" s="13">
        <v>171</v>
      </c>
      <c r="E5" s="13">
        <v>199</v>
      </c>
      <c r="F5" s="13">
        <v>209</v>
      </c>
      <c r="G5" s="13">
        <v>161</v>
      </c>
      <c r="H5" s="13">
        <v>171</v>
      </c>
      <c r="I5" s="13">
        <v>102</v>
      </c>
      <c r="J5" s="13">
        <v>127</v>
      </c>
      <c r="K5" s="13">
        <v>107</v>
      </c>
      <c r="L5" s="13">
        <v>54</v>
      </c>
      <c r="M5" s="13">
        <v>139</v>
      </c>
      <c r="N5" s="420" t="s">
        <v>239</v>
      </c>
      <c r="O5" s="13">
        <v>90</v>
      </c>
      <c r="P5" s="13">
        <v>81</v>
      </c>
      <c r="Q5" s="13">
        <v>1611</v>
      </c>
      <c r="R5" s="13">
        <v>1611</v>
      </c>
      <c r="S5" s="389">
        <v>1377</v>
      </c>
    </row>
    <row r="6" spans="1:30" s="21" customFormat="1" ht="20.100000000000001" customHeight="1">
      <c r="A6" s="16"/>
      <c r="B6" s="17" t="s">
        <v>17</v>
      </c>
      <c r="C6" s="18"/>
      <c r="D6" s="13">
        <v>25</v>
      </c>
      <c r="E6" s="13">
        <v>87</v>
      </c>
      <c r="F6" s="13">
        <v>40</v>
      </c>
      <c r="G6" s="13">
        <v>95</v>
      </c>
      <c r="H6" s="13">
        <v>18</v>
      </c>
      <c r="I6" s="13">
        <v>15</v>
      </c>
      <c r="J6" s="13">
        <v>35</v>
      </c>
      <c r="K6" s="13">
        <v>160</v>
      </c>
      <c r="L6" s="13">
        <v>58</v>
      </c>
      <c r="M6" s="13">
        <v>25</v>
      </c>
      <c r="N6" s="13">
        <v>99</v>
      </c>
      <c r="O6" s="13">
        <v>15</v>
      </c>
      <c r="P6" s="420" t="s">
        <v>239</v>
      </c>
      <c r="Q6" s="19">
        <v>672</v>
      </c>
      <c r="R6" s="19">
        <v>611</v>
      </c>
      <c r="S6" s="96">
        <v>678</v>
      </c>
    </row>
    <row r="7" spans="1:30" s="27" customFormat="1" ht="18" customHeight="1">
      <c r="A7" s="22"/>
      <c r="B7" s="23" t="s">
        <v>18</v>
      </c>
      <c r="C7" s="24"/>
      <c r="D7" s="25">
        <v>196</v>
      </c>
      <c r="E7" s="25">
        <v>286</v>
      </c>
      <c r="F7" s="25">
        <v>249</v>
      </c>
      <c r="G7" s="25">
        <v>256</v>
      </c>
      <c r="H7" s="25">
        <v>189</v>
      </c>
      <c r="I7" s="25">
        <v>117</v>
      </c>
      <c r="J7" s="25">
        <v>162</v>
      </c>
      <c r="K7" s="25">
        <v>267</v>
      </c>
      <c r="L7" s="25">
        <v>112</v>
      </c>
      <c r="M7" s="25">
        <v>164</v>
      </c>
      <c r="N7" s="25">
        <v>99</v>
      </c>
      <c r="O7" s="25">
        <v>105</v>
      </c>
      <c r="P7" s="25">
        <v>81</v>
      </c>
      <c r="Q7" s="25">
        <v>2283</v>
      </c>
      <c r="R7" s="25">
        <v>2222</v>
      </c>
      <c r="S7" s="26">
        <v>2055</v>
      </c>
      <c r="V7" s="189"/>
      <c r="W7" s="422"/>
      <c r="X7" s="422"/>
    </row>
    <row r="8" spans="1:30" ht="20.100000000000001" customHeight="1">
      <c r="A8" s="28" t="s">
        <v>19</v>
      </c>
      <c r="B8" s="11" t="s">
        <v>20</v>
      </c>
      <c r="C8" s="29"/>
      <c r="D8" s="13">
        <v>167</v>
      </c>
      <c r="E8" s="13">
        <v>200</v>
      </c>
      <c r="F8" s="13">
        <v>209</v>
      </c>
      <c r="G8" s="13">
        <v>154</v>
      </c>
      <c r="H8" s="13">
        <v>164</v>
      </c>
      <c r="I8" s="13">
        <v>101</v>
      </c>
      <c r="J8" s="13">
        <v>127</v>
      </c>
      <c r="K8" s="13">
        <v>108</v>
      </c>
      <c r="L8" s="13">
        <v>54</v>
      </c>
      <c r="M8" s="13">
        <v>151</v>
      </c>
      <c r="N8" s="420" t="s">
        <v>239</v>
      </c>
      <c r="O8" s="13">
        <v>93</v>
      </c>
      <c r="P8" s="13">
        <v>83</v>
      </c>
      <c r="Q8" s="30">
        <v>1611</v>
      </c>
      <c r="R8" s="30">
        <v>1622</v>
      </c>
      <c r="S8" s="171">
        <v>1380</v>
      </c>
      <c r="V8" s="189"/>
    </row>
    <row r="9" spans="1:30" ht="20.100000000000001" customHeight="1">
      <c r="A9" s="16"/>
      <c r="B9" s="17" t="s">
        <v>21</v>
      </c>
      <c r="C9" s="18"/>
      <c r="D9" s="13">
        <v>25</v>
      </c>
      <c r="E9" s="13">
        <v>87</v>
      </c>
      <c r="F9" s="13">
        <v>40</v>
      </c>
      <c r="G9" s="13">
        <v>95</v>
      </c>
      <c r="H9" s="13">
        <v>18</v>
      </c>
      <c r="I9" s="13">
        <v>15</v>
      </c>
      <c r="J9" s="13">
        <v>35</v>
      </c>
      <c r="K9" s="13">
        <v>160</v>
      </c>
      <c r="L9" s="13">
        <v>58</v>
      </c>
      <c r="M9" s="13">
        <v>25</v>
      </c>
      <c r="N9" s="13">
        <v>99</v>
      </c>
      <c r="O9" s="13">
        <v>15</v>
      </c>
      <c r="P9" s="420" t="s">
        <v>239</v>
      </c>
      <c r="Q9" s="13">
        <v>672</v>
      </c>
      <c r="R9" s="13">
        <v>611</v>
      </c>
      <c r="S9" s="58">
        <v>678</v>
      </c>
    </row>
    <row r="10" spans="1:30" s="33" customFormat="1" ht="18" customHeight="1">
      <c r="A10" s="22"/>
      <c r="B10" s="23" t="s">
        <v>22</v>
      </c>
      <c r="C10" s="24"/>
      <c r="D10" s="32">
        <v>192</v>
      </c>
      <c r="E10" s="32">
        <v>287</v>
      </c>
      <c r="F10" s="32">
        <v>249</v>
      </c>
      <c r="G10" s="32">
        <v>249</v>
      </c>
      <c r="H10" s="32">
        <v>182</v>
      </c>
      <c r="I10" s="32">
        <v>116</v>
      </c>
      <c r="J10" s="32">
        <v>162</v>
      </c>
      <c r="K10" s="32">
        <v>268</v>
      </c>
      <c r="L10" s="32">
        <v>112</v>
      </c>
      <c r="M10" s="32">
        <v>176</v>
      </c>
      <c r="N10" s="32">
        <v>99</v>
      </c>
      <c r="O10" s="32">
        <v>108</v>
      </c>
      <c r="P10" s="32">
        <v>83</v>
      </c>
      <c r="Q10" s="32">
        <v>2283</v>
      </c>
      <c r="R10" s="32">
        <v>2233</v>
      </c>
      <c r="S10" s="48">
        <v>2058</v>
      </c>
    </row>
    <row r="11" spans="1:30" s="15" customFormat="1" ht="32.1" customHeight="1">
      <c r="A11" s="10" t="s">
        <v>23</v>
      </c>
      <c r="B11" s="11" t="s">
        <v>24</v>
      </c>
      <c r="C11" s="35"/>
      <c r="D11" s="13">
        <v>126</v>
      </c>
      <c r="E11" s="13">
        <v>131</v>
      </c>
      <c r="F11" s="13">
        <v>138</v>
      </c>
      <c r="G11" s="13">
        <v>115</v>
      </c>
      <c r="H11" s="13">
        <v>117</v>
      </c>
      <c r="I11" s="13">
        <v>70</v>
      </c>
      <c r="J11" s="13">
        <v>101</v>
      </c>
      <c r="K11" s="13">
        <v>78</v>
      </c>
      <c r="L11" s="13">
        <v>50</v>
      </c>
      <c r="M11" s="13">
        <v>97</v>
      </c>
      <c r="N11" s="420" t="s">
        <v>239</v>
      </c>
      <c r="O11" s="13">
        <v>63</v>
      </c>
      <c r="P11" s="13">
        <v>44</v>
      </c>
      <c r="Q11" s="36">
        <v>1130</v>
      </c>
      <c r="R11" s="36">
        <v>1054</v>
      </c>
      <c r="S11" s="49">
        <v>972</v>
      </c>
      <c r="AD11" s="15">
        <v>63</v>
      </c>
    </row>
    <row r="12" spans="1:30" s="21" customFormat="1" ht="20.100000000000001" customHeight="1">
      <c r="A12" s="16"/>
      <c r="B12" s="17" t="s">
        <v>25</v>
      </c>
      <c r="C12" s="18"/>
      <c r="D12" s="13">
        <v>3</v>
      </c>
      <c r="E12" s="13">
        <v>41</v>
      </c>
      <c r="F12" s="13">
        <v>25</v>
      </c>
      <c r="G12" s="13">
        <v>2</v>
      </c>
      <c r="H12" s="13">
        <v>8</v>
      </c>
      <c r="I12" s="13">
        <v>10</v>
      </c>
      <c r="J12" s="13">
        <v>12</v>
      </c>
      <c r="K12" s="13">
        <v>19</v>
      </c>
      <c r="L12" s="13">
        <v>2</v>
      </c>
      <c r="M12" s="13">
        <v>16</v>
      </c>
      <c r="N12" s="420" t="s">
        <v>239</v>
      </c>
      <c r="O12" s="13">
        <v>17</v>
      </c>
      <c r="P12" s="13">
        <v>7</v>
      </c>
      <c r="Q12" s="37">
        <v>162</v>
      </c>
      <c r="R12" s="37">
        <v>244</v>
      </c>
      <c r="S12" s="38">
        <v>19</v>
      </c>
    </row>
    <row r="13" spans="1:30" s="21" customFormat="1" ht="20.100000000000001" customHeight="1">
      <c r="A13" s="16"/>
      <c r="B13" s="34" t="s">
        <v>26</v>
      </c>
      <c r="C13" s="18"/>
      <c r="D13" s="37">
        <v>129</v>
      </c>
      <c r="E13" s="37">
        <v>172</v>
      </c>
      <c r="F13" s="37">
        <v>163</v>
      </c>
      <c r="G13" s="37">
        <v>117</v>
      </c>
      <c r="H13" s="37">
        <v>125</v>
      </c>
      <c r="I13" s="37">
        <v>80</v>
      </c>
      <c r="J13" s="37">
        <v>113</v>
      </c>
      <c r="K13" s="37">
        <v>97</v>
      </c>
      <c r="L13" s="37">
        <v>52</v>
      </c>
      <c r="M13" s="37">
        <v>113</v>
      </c>
      <c r="N13" s="420" t="s">
        <v>239</v>
      </c>
      <c r="O13" s="37">
        <v>80</v>
      </c>
      <c r="P13" s="37">
        <v>51</v>
      </c>
      <c r="Q13" s="37">
        <v>1292</v>
      </c>
      <c r="R13" s="37">
        <v>1298</v>
      </c>
      <c r="S13" s="38">
        <v>991</v>
      </c>
    </row>
    <row r="14" spans="1:30" s="21" customFormat="1" ht="20.100000000000001" customHeight="1">
      <c r="A14" s="39"/>
      <c r="B14" s="40" t="s">
        <v>27</v>
      </c>
      <c r="C14" s="41"/>
      <c r="D14" s="42">
        <v>1.7964071856287425</v>
      </c>
      <c r="E14" s="42">
        <v>20.5</v>
      </c>
      <c r="F14" s="42">
        <v>11.961722488038278</v>
      </c>
      <c r="G14" s="42">
        <v>1.2987012987012987</v>
      </c>
      <c r="H14" s="42">
        <v>4.8780487804878048</v>
      </c>
      <c r="I14" s="42">
        <v>9.9009900990099009</v>
      </c>
      <c r="J14" s="42">
        <v>9.4488188976377945</v>
      </c>
      <c r="K14" s="42">
        <v>17.592592592592592</v>
      </c>
      <c r="L14" s="42">
        <v>3.7037037037037033</v>
      </c>
      <c r="M14" s="42">
        <v>10.596026490066226</v>
      </c>
      <c r="N14" s="421" t="s">
        <v>239</v>
      </c>
      <c r="O14" s="42">
        <v>18.27956989247312</v>
      </c>
      <c r="P14" s="42">
        <v>8.4337349397590362</v>
      </c>
      <c r="Q14" s="42">
        <v>10.05586592178771</v>
      </c>
      <c r="R14" s="42">
        <v>15.043156596794081</v>
      </c>
      <c r="S14" s="43">
        <v>1.38</v>
      </c>
    </row>
    <row r="15" spans="1:30" s="21" customFormat="1" ht="18" customHeight="1">
      <c r="A15" s="28" t="s">
        <v>28</v>
      </c>
      <c r="B15" s="34" t="s">
        <v>29</v>
      </c>
      <c r="C15" s="29"/>
      <c r="D15" s="13">
        <v>126</v>
      </c>
      <c r="E15" s="13">
        <v>131</v>
      </c>
      <c r="F15" s="13">
        <v>138</v>
      </c>
      <c r="G15" s="13">
        <v>115</v>
      </c>
      <c r="H15" s="13">
        <v>117</v>
      </c>
      <c r="I15" s="13">
        <v>70</v>
      </c>
      <c r="J15" s="13">
        <v>101</v>
      </c>
      <c r="K15" s="13">
        <v>78</v>
      </c>
      <c r="L15" s="44">
        <v>50</v>
      </c>
      <c r="M15" s="13">
        <v>97</v>
      </c>
      <c r="N15" s="420" t="s">
        <v>239</v>
      </c>
      <c r="O15" s="13">
        <v>63</v>
      </c>
      <c r="P15" s="13">
        <v>44</v>
      </c>
      <c r="Q15" s="45">
        <v>1130</v>
      </c>
      <c r="R15" s="45">
        <v>1054</v>
      </c>
      <c r="S15" s="46">
        <v>972</v>
      </c>
    </row>
    <row r="16" spans="1:30" s="21" customFormat="1" ht="18" customHeight="1">
      <c r="A16" s="16"/>
      <c r="B16" s="17" t="s">
        <v>21</v>
      </c>
      <c r="C16" s="18"/>
      <c r="D16" s="13">
        <v>10</v>
      </c>
      <c r="E16" s="13">
        <v>52</v>
      </c>
      <c r="F16" s="13">
        <v>11</v>
      </c>
      <c r="G16" s="13">
        <v>79</v>
      </c>
      <c r="H16" s="13">
        <v>3</v>
      </c>
      <c r="I16" s="13">
        <v>5</v>
      </c>
      <c r="J16" s="13">
        <v>22</v>
      </c>
      <c r="K16" s="13">
        <v>93</v>
      </c>
      <c r="L16" s="13">
        <v>52</v>
      </c>
      <c r="M16" s="13">
        <v>16</v>
      </c>
      <c r="N16" s="13">
        <v>81</v>
      </c>
      <c r="O16" s="13">
        <v>1</v>
      </c>
      <c r="P16" s="420" t="s">
        <v>239</v>
      </c>
      <c r="Q16" s="37">
        <v>425</v>
      </c>
      <c r="R16" s="37">
        <v>447</v>
      </c>
      <c r="S16" s="38">
        <v>423</v>
      </c>
    </row>
    <row r="17" spans="1:24" s="27" customFormat="1" ht="18" customHeight="1">
      <c r="A17" s="22"/>
      <c r="B17" s="47" t="s">
        <v>30</v>
      </c>
      <c r="C17" s="24"/>
      <c r="D17" s="32">
        <v>136</v>
      </c>
      <c r="E17" s="32">
        <v>183</v>
      </c>
      <c r="F17" s="32">
        <v>149</v>
      </c>
      <c r="G17" s="32">
        <v>194</v>
      </c>
      <c r="H17" s="32">
        <v>120</v>
      </c>
      <c r="I17" s="32">
        <v>75</v>
      </c>
      <c r="J17" s="32">
        <v>123</v>
      </c>
      <c r="K17" s="32">
        <v>171</v>
      </c>
      <c r="L17" s="32">
        <v>102</v>
      </c>
      <c r="M17" s="32">
        <v>113</v>
      </c>
      <c r="N17" s="32">
        <v>81</v>
      </c>
      <c r="O17" s="32">
        <v>64</v>
      </c>
      <c r="P17" s="32">
        <v>44</v>
      </c>
      <c r="Q17" s="32">
        <v>1555</v>
      </c>
      <c r="R17" s="32">
        <v>1501</v>
      </c>
      <c r="S17" s="48">
        <v>1395</v>
      </c>
    </row>
    <row r="18" spans="1:24" s="15" customFormat="1" ht="32.1" customHeight="1">
      <c r="A18" s="10">
        <v>3</v>
      </c>
      <c r="B18" s="11" t="s">
        <v>31</v>
      </c>
      <c r="C18" s="35"/>
      <c r="D18" s="19">
        <v>41</v>
      </c>
      <c r="E18" s="19">
        <v>69</v>
      </c>
      <c r="F18" s="19">
        <v>71</v>
      </c>
      <c r="G18" s="19">
        <v>39</v>
      </c>
      <c r="H18" s="19">
        <v>47</v>
      </c>
      <c r="I18" s="19">
        <v>31</v>
      </c>
      <c r="J18" s="19">
        <v>26</v>
      </c>
      <c r="K18" s="19">
        <v>30</v>
      </c>
      <c r="L18" s="19">
        <v>4</v>
      </c>
      <c r="M18" s="19">
        <v>54</v>
      </c>
      <c r="N18" s="420" t="s">
        <v>239</v>
      </c>
      <c r="O18" s="19">
        <v>30</v>
      </c>
      <c r="P18" s="19">
        <v>39</v>
      </c>
      <c r="Q18" s="19">
        <v>481</v>
      </c>
      <c r="R18" s="19">
        <v>568</v>
      </c>
      <c r="S18" s="96">
        <v>408</v>
      </c>
    </row>
    <row r="19" spans="1:24" s="21" customFormat="1" ht="18" customHeight="1">
      <c r="A19" s="16"/>
      <c r="B19" s="17" t="s">
        <v>21</v>
      </c>
      <c r="C19" s="18"/>
      <c r="D19" s="128">
        <v>15</v>
      </c>
      <c r="E19" s="128">
        <v>35</v>
      </c>
      <c r="F19" s="128">
        <v>29</v>
      </c>
      <c r="G19" s="128">
        <v>16</v>
      </c>
      <c r="H19" s="128">
        <v>15</v>
      </c>
      <c r="I19" s="128">
        <v>10</v>
      </c>
      <c r="J19" s="128">
        <v>13</v>
      </c>
      <c r="K19" s="128">
        <v>67</v>
      </c>
      <c r="L19" s="128">
        <v>6</v>
      </c>
      <c r="M19" s="128">
        <v>9</v>
      </c>
      <c r="N19" s="128">
        <v>18</v>
      </c>
      <c r="O19" s="128">
        <v>14</v>
      </c>
      <c r="P19" s="420" t="s">
        <v>239</v>
      </c>
      <c r="Q19" s="128">
        <v>247</v>
      </c>
      <c r="R19" s="128">
        <v>164</v>
      </c>
      <c r="S19" s="96">
        <v>255</v>
      </c>
    </row>
    <row r="20" spans="1:24" s="21" customFormat="1" ht="18" customHeight="1">
      <c r="A20" s="16"/>
      <c r="B20" s="50" t="s">
        <v>32</v>
      </c>
      <c r="C20" s="18"/>
      <c r="D20" s="37">
        <v>56</v>
      </c>
      <c r="E20" s="37">
        <v>104</v>
      </c>
      <c r="F20" s="37">
        <v>100</v>
      </c>
      <c r="G20" s="37">
        <v>55</v>
      </c>
      <c r="H20" s="37">
        <v>62</v>
      </c>
      <c r="I20" s="37">
        <v>41</v>
      </c>
      <c r="J20" s="37">
        <v>39</v>
      </c>
      <c r="K20" s="37">
        <v>97</v>
      </c>
      <c r="L20" s="37">
        <v>10</v>
      </c>
      <c r="M20" s="37">
        <v>63</v>
      </c>
      <c r="N20" s="37">
        <v>18</v>
      </c>
      <c r="O20" s="37">
        <v>44</v>
      </c>
      <c r="P20" s="37">
        <v>39</v>
      </c>
      <c r="Q20" s="37">
        <v>728</v>
      </c>
      <c r="R20" s="37">
        <v>732</v>
      </c>
      <c r="S20" s="38">
        <v>663</v>
      </c>
    </row>
    <row r="21" spans="1:24" s="21" customFormat="1" ht="25.5">
      <c r="A21" s="16"/>
      <c r="B21" s="17" t="s">
        <v>33</v>
      </c>
      <c r="C21" s="18"/>
      <c r="D21" s="13">
        <v>38</v>
      </c>
      <c r="E21" s="13">
        <v>28</v>
      </c>
      <c r="F21" s="13">
        <v>45</v>
      </c>
      <c r="G21" s="13">
        <v>36</v>
      </c>
      <c r="H21" s="13">
        <v>38</v>
      </c>
      <c r="I21" s="13">
        <v>22</v>
      </c>
      <c r="J21" s="13">
        <v>14</v>
      </c>
      <c r="K21" s="13">
        <v>12</v>
      </c>
      <c r="L21" s="13">
        <v>2</v>
      </c>
      <c r="M21" s="13">
        <v>39</v>
      </c>
      <c r="N21" s="420" t="s">
        <v>239</v>
      </c>
      <c r="O21" s="13">
        <v>12</v>
      </c>
      <c r="P21" s="13">
        <v>33</v>
      </c>
      <c r="Q21" s="37">
        <v>319</v>
      </c>
      <c r="R21" s="37">
        <v>325</v>
      </c>
      <c r="S21" s="38">
        <v>389</v>
      </c>
    </row>
    <row r="22" spans="1:24" s="15" customFormat="1" ht="20.100000000000001" customHeight="1">
      <c r="A22" s="51"/>
      <c r="B22" s="52" t="s">
        <v>34</v>
      </c>
      <c r="C22" s="53"/>
      <c r="D22" s="42">
        <v>22.754491017964071</v>
      </c>
      <c r="E22" s="42">
        <v>14.000000000000002</v>
      </c>
      <c r="F22" s="42">
        <v>21.5311004784689</v>
      </c>
      <c r="G22" s="42">
        <v>23.376623376623375</v>
      </c>
      <c r="H22" s="42">
        <v>23.170731707317074</v>
      </c>
      <c r="I22" s="42">
        <v>21.782178217821784</v>
      </c>
      <c r="J22" s="42">
        <v>11.023622047244094</v>
      </c>
      <c r="K22" s="42">
        <v>11.111111111111111</v>
      </c>
      <c r="L22" s="42">
        <v>3.7037037037037033</v>
      </c>
      <c r="M22" s="42">
        <v>25.827814569536422</v>
      </c>
      <c r="N22" s="421" t="s">
        <v>239</v>
      </c>
      <c r="O22" s="42">
        <v>12.903225806451612</v>
      </c>
      <c r="P22" s="42">
        <v>39.75903614457831</v>
      </c>
      <c r="Q22" s="42">
        <v>19.801365611421478</v>
      </c>
      <c r="R22" s="42">
        <v>20.036991368680638</v>
      </c>
      <c r="S22" s="43">
        <v>28.19</v>
      </c>
    </row>
    <row r="23" spans="1:24" s="57" customFormat="1" ht="32.1" customHeight="1">
      <c r="A23" s="10">
        <v>4</v>
      </c>
      <c r="B23" s="11" t="s">
        <v>207</v>
      </c>
      <c r="C23" s="56"/>
      <c r="D23" s="36">
        <v>137.5</v>
      </c>
      <c r="E23" s="36">
        <v>132.69999999999999</v>
      </c>
      <c r="F23" s="36">
        <v>125</v>
      </c>
      <c r="G23" s="36">
        <v>124.5</v>
      </c>
      <c r="H23" s="36">
        <v>114.8</v>
      </c>
      <c r="I23" s="36">
        <v>72.5</v>
      </c>
      <c r="J23" s="36">
        <v>101.5</v>
      </c>
      <c r="K23" s="36">
        <v>47</v>
      </c>
      <c r="L23" s="36">
        <v>47.8</v>
      </c>
      <c r="M23" s="36">
        <v>99.5</v>
      </c>
      <c r="N23" s="420" t="s">
        <v>239</v>
      </c>
      <c r="O23" s="36">
        <v>54.5</v>
      </c>
      <c r="P23" s="36">
        <v>43</v>
      </c>
      <c r="Q23" s="36">
        <v>1098.2</v>
      </c>
      <c r="R23" s="36">
        <v>1147.0999999999999</v>
      </c>
      <c r="S23" s="49">
        <v>1091.8</v>
      </c>
    </row>
    <row r="24" spans="1:24" s="57" customFormat="1" ht="20.100000000000001" customHeight="1">
      <c r="A24" s="10"/>
      <c r="B24" s="11" t="s">
        <v>208</v>
      </c>
      <c r="C24" s="56"/>
      <c r="D24" s="36">
        <v>21.5</v>
      </c>
      <c r="E24" s="36">
        <v>78.3</v>
      </c>
      <c r="F24" s="36">
        <v>36</v>
      </c>
      <c r="G24" s="36">
        <v>84.5</v>
      </c>
      <c r="H24" s="36">
        <v>16.2</v>
      </c>
      <c r="I24" s="36">
        <v>12.5</v>
      </c>
      <c r="J24" s="36">
        <v>30.5</v>
      </c>
      <c r="K24" s="36">
        <v>144</v>
      </c>
      <c r="L24" s="36">
        <v>52.2</v>
      </c>
      <c r="M24" s="36">
        <v>21.5</v>
      </c>
      <c r="N24" s="36">
        <v>88.1</v>
      </c>
      <c r="O24" s="36">
        <v>12.5</v>
      </c>
      <c r="P24" s="420" t="s">
        <v>239</v>
      </c>
      <c r="Q24" s="36">
        <v>605.79999999999995</v>
      </c>
      <c r="R24" s="36">
        <v>550.9</v>
      </c>
      <c r="S24" s="49">
        <v>611.20000000000005</v>
      </c>
    </row>
    <row r="25" spans="1:24" s="57" customFormat="1" ht="20.100000000000001" customHeight="1">
      <c r="A25" s="10"/>
      <c r="B25" s="11" t="s">
        <v>22</v>
      </c>
      <c r="C25" s="56"/>
      <c r="D25" s="36">
        <v>160</v>
      </c>
      <c r="E25" s="36">
        <v>211</v>
      </c>
      <c r="F25" s="36">
        <v>161</v>
      </c>
      <c r="G25" s="36">
        <v>210</v>
      </c>
      <c r="H25" s="36">
        <v>131</v>
      </c>
      <c r="I25" s="36">
        <v>86</v>
      </c>
      <c r="J25" s="36">
        <v>133</v>
      </c>
      <c r="K25" s="36">
        <v>191</v>
      </c>
      <c r="L25" s="36">
        <v>100</v>
      </c>
      <c r="M25" s="36">
        <v>122</v>
      </c>
      <c r="N25" s="36">
        <v>88</v>
      </c>
      <c r="O25" s="36">
        <v>68</v>
      </c>
      <c r="P25" s="36">
        <v>43</v>
      </c>
      <c r="Q25" s="36">
        <v>1704</v>
      </c>
      <c r="R25" s="36">
        <v>1698</v>
      </c>
      <c r="S25" s="58">
        <v>1703</v>
      </c>
    </row>
    <row r="26" spans="1:24" s="15" customFormat="1" ht="32.1" customHeight="1">
      <c r="A26" s="10">
        <v>5</v>
      </c>
      <c r="B26" s="11" t="s">
        <v>174</v>
      </c>
      <c r="C26" s="35"/>
      <c r="D26" s="13">
        <v>123</v>
      </c>
      <c r="E26" s="13">
        <v>120</v>
      </c>
      <c r="F26" s="13">
        <v>136</v>
      </c>
      <c r="G26" s="13">
        <v>111</v>
      </c>
      <c r="H26" s="13">
        <v>113</v>
      </c>
      <c r="I26" s="13">
        <v>70</v>
      </c>
      <c r="J26" s="13">
        <v>100</v>
      </c>
      <c r="K26" s="13">
        <v>78</v>
      </c>
      <c r="L26" s="13">
        <v>49</v>
      </c>
      <c r="M26" s="13">
        <v>96</v>
      </c>
      <c r="N26" s="420" t="s">
        <v>239</v>
      </c>
      <c r="O26" s="13">
        <v>63</v>
      </c>
      <c r="P26" s="13">
        <v>43</v>
      </c>
      <c r="Q26" s="45">
        <v>1102</v>
      </c>
      <c r="R26" s="45">
        <v>1017</v>
      </c>
      <c r="S26" s="46">
        <v>948</v>
      </c>
    </row>
    <row r="27" spans="1:24" s="21" customFormat="1" ht="23.25" customHeight="1">
      <c r="A27" s="16"/>
      <c r="B27" s="17" t="s">
        <v>37</v>
      </c>
      <c r="C27" s="18"/>
      <c r="D27" s="13">
        <v>10</v>
      </c>
      <c r="E27" s="13">
        <v>52</v>
      </c>
      <c r="F27" s="13">
        <v>11</v>
      </c>
      <c r="G27" s="13">
        <v>79</v>
      </c>
      <c r="H27" s="13">
        <v>3</v>
      </c>
      <c r="I27" s="13">
        <v>5</v>
      </c>
      <c r="J27" s="13">
        <v>22</v>
      </c>
      <c r="K27" s="13">
        <v>93</v>
      </c>
      <c r="L27" s="13">
        <v>52</v>
      </c>
      <c r="M27" s="13">
        <v>16</v>
      </c>
      <c r="N27" s="13">
        <v>81</v>
      </c>
      <c r="O27" s="13">
        <v>1</v>
      </c>
      <c r="P27" s="420" t="s">
        <v>239</v>
      </c>
      <c r="Q27" s="45">
        <v>425</v>
      </c>
      <c r="R27" s="37">
        <v>447</v>
      </c>
      <c r="S27" s="38">
        <v>401</v>
      </c>
    </row>
    <row r="28" spans="1:24" s="21" customFormat="1" ht="23.25" customHeight="1">
      <c r="A28" s="39"/>
      <c r="B28" s="40" t="s">
        <v>38</v>
      </c>
      <c r="C28" s="41"/>
      <c r="D28" s="59">
        <v>133</v>
      </c>
      <c r="E28" s="59">
        <v>172</v>
      </c>
      <c r="F28" s="59">
        <v>147</v>
      </c>
      <c r="G28" s="59">
        <v>190</v>
      </c>
      <c r="H28" s="59">
        <v>116</v>
      </c>
      <c r="I28" s="59">
        <v>75</v>
      </c>
      <c r="J28" s="59">
        <v>122</v>
      </c>
      <c r="K28" s="59">
        <v>171</v>
      </c>
      <c r="L28" s="59">
        <v>101</v>
      </c>
      <c r="M28" s="59">
        <v>112</v>
      </c>
      <c r="N28" s="59">
        <v>81</v>
      </c>
      <c r="O28" s="59">
        <v>64</v>
      </c>
      <c r="P28" s="59">
        <v>43</v>
      </c>
      <c r="Q28" s="59">
        <v>1527</v>
      </c>
      <c r="R28" s="59">
        <v>1464</v>
      </c>
      <c r="S28" s="60">
        <v>1349</v>
      </c>
    </row>
    <row r="29" spans="1:24" s="27" customFormat="1" ht="28.5" customHeight="1" thickBot="1">
      <c r="A29" s="390">
        <v>6</v>
      </c>
      <c r="B29" s="391" t="s">
        <v>39</v>
      </c>
      <c r="C29" s="392"/>
      <c r="D29" s="393">
        <v>971326</v>
      </c>
      <c r="E29" s="393">
        <v>1393685</v>
      </c>
      <c r="F29" s="393">
        <v>891956</v>
      </c>
      <c r="G29" s="393">
        <v>1177339</v>
      </c>
      <c r="H29" s="393">
        <v>882931</v>
      </c>
      <c r="I29" s="393">
        <v>471381</v>
      </c>
      <c r="J29" s="393">
        <v>742168</v>
      </c>
      <c r="K29" s="393">
        <v>1343828</v>
      </c>
      <c r="L29" s="393">
        <v>791143</v>
      </c>
      <c r="M29" s="393">
        <v>884138</v>
      </c>
      <c r="N29" s="393">
        <v>593215</v>
      </c>
      <c r="O29" s="393">
        <v>432668</v>
      </c>
      <c r="P29" s="393">
        <v>269874</v>
      </c>
      <c r="Q29" s="196">
        <v>10845652</v>
      </c>
      <c r="R29" s="394">
        <v>11568432</v>
      </c>
      <c r="S29" s="197">
        <v>10893491</v>
      </c>
    </row>
    <row r="30" spans="1:24" s="21" customFormat="1" ht="20.100000000000001" customHeight="1" thickTop="1">
      <c r="A30" s="28">
        <v>7</v>
      </c>
      <c r="B30" s="11" t="s">
        <v>40</v>
      </c>
      <c r="C30" s="29"/>
      <c r="D30" s="13">
        <v>403205</v>
      </c>
      <c r="E30" s="13">
        <v>43372</v>
      </c>
      <c r="F30" s="13">
        <v>354158</v>
      </c>
      <c r="G30" s="13">
        <v>357280</v>
      </c>
      <c r="H30" s="13">
        <v>408687</v>
      </c>
      <c r="I30" s="13">
        <v>270899</v>
      </c>
      <c r="J30" s="13">
        <v>415807</v>
      </c>
      <c r="K30" s="13">
        <v>181218</v>
      </c>
      <c r="L30" s="13">
        <v>7466</v>
      </c>
      <c r="M30" s="13">
        <v>51690</v>
      </c>
      <c r="N30" s="420" t="s">
        <v>239</v>
      </c>
      <c r="O30" s="13">
        <v>46012</v>
      </c>
      <c r="P30" s="13">
        <v>57734</v>
      </c>
      <c r="Q30" s="44">
        <v>2597528</v>
      </c>
      <c r="R30" s="44">
        <v>2656559</v>
      </c>
      <c r="S30" s="14">
        <v>3673132</v>
      </c>
      <c r="V30" s="198"/>
    </row>
    <row r="31" spans="1:24" s="21" customFormat="1" ht="20.100000000000001" customHeight="1">
      <c r="A31" s="16"/>
      <c r="B31" s="17" t="s">
        <v>41</v>
      </c>
      <c r="C31" s="18"/>
      <c r="D31" s="13">
        <v>323464</v>
      </c>
      <c r="E31" s="13">
        <v>819624</v>
      </c>
      <c r="F31" s="13">
        <v>384817</v>
      </c>
      <c r="G31" s="13">
        <v>228946</v>
      </c>
      <c r="H31" s="13">
        <v>345667</v>
      </c>
      <c r="I31" s="13">
        <v>121090</v>
      </c>
      <c r="J31" s="13">
        <v>110779</v>
      </c>
      <c r="K31" s="13">
        <v>316397</v>
      </c>
      <c r="L31" s="13">
        <v>364163</v>
      </c>
      <c r="M31" s="13">
        <v>621676</v>
      </c>
      <c r="N31" s="420" t="s">
        <v>239</v>
      </c>
      <c r="O31" s="13">
        <v>330915</v>
      </c>
      <c r="P31" s="13">
        <v>214428</v>
      </c>
      <c r="Q31" s="44">
        <v>4181966</v>
      </c>
      <c r="R31" s="44">
        <v>4143829</v>
      </c>
      <c r="S31" s="14">
        <v>1881284</v>
      </c>
    </row>
    <row r="32" spans="1:24" s="21" customFormat="1" ht="20.100000000000001" customHeight="1">
      <c r="A32" s="16"/>
      <c r="B32" s="17" t="s">
        <v>42</v>
      </c>
      <c r="C32" s="18"/>
      <c r="D32" s="13">
        <v>726669</v>
      </c>
      <c r="E32" s="13">
        <v>862996</v>
      </c>
      <c r="F32" s="13">
        <v>738975</v>
      </c>
      <c r="G32" s="13">
        <v>586226</v>
      </c>
      <c r="H32" s="13">
        <v>754354</v>
      </c>
      <c r="I32" s="13">
        <v>391989</v>
      </c>
      <c r="J32" s="13">
        <v>526586</v>
      </c>
      <c r="K32" s="13">
        <v>497615</v>
      </c>
      <c r="L32" s="13">
        <v>371629</v>
      </c>
      <c r="M32" s="13">
        <v>673366</v>
      </c>
      <c r="N32" s="420" t="s">
        <v>239</v>
      </c>
      <c r="O32" s="13">
        <v>376927</v>
      </c>
      <c r="P32" s="13">
        <v>272162</v>
      </c>
      <c r="Q32" s="63">
        <v>6779494</v>
      </c>
      <c r="R32" s="63">
        <v>6800388</v>
      </c>
      <c r="S32" s="20">
        <v>5554416</v>
      </c>
      <c r="U32" s="198"/>
      <c r="V32" s="198"/>
      <c r="W32" s="198"/>
      <c r="X32" s="198"/>
    </row>
    <row r="33" spans="1:19" s="21" customFormat="1" ht="20.100000000000001" customHeight="1">
      <c r="A33" s="64"/>
      <c r="B33" s="17" t="s">
        <v>43</v>
      </c>
      <c r="C33" s="18"/>
      <c r="D33" s="13">
        <v>66242</v>
      </c>
      <c r="E33" s="13">
        <v>277889</v>
      </c>
      <c r="F33" s="13">
        <v>75028</v>
      </c>
      <c r="G33" s="13">
        <v>479210</v>
      </c>
      <c r="H33" s="420" t="s">
        <v>239</v>
      </c>
      <c r="I33" s="13">
        <v>23464</v>
      </c>
      <c r="J33" s="13">
        <v>139395</v>
      </c>
      <c r="K33" s="13">
        <v>368568</v>
      </c>
      <c r="L33" s="13">
        <v>409048</v>
      </c>
      <c r="M33" s="13">
        <v>107048</v>
      </c>
      <c r="N33" s="13">
        <v>33559</v>
      </c>
      <c r="O33" s="13">
        <v>5188</v>
      </c>
      <c r="P33" s="420" t="s">
        <v>239</v>
      </c>
      <c r="Q33" s="45">
        <v>1984639</v>
      </c>
      <c r="R33" s="45">
        <v>2262758</v>
      </c>
      <c r="S33" s="46">
        <v>2518794</v>
      </c>
    </row>
    <row r="34" spans="1:19" s="21" customFormat="1" ht="20.100000000000001" customHeight="1">
      <c r="A34" s="64"/>
      <c r="B34" s="17" t="s">
        <v>153</v>
      </c>
      <c r="C34" s="18"/>
      <c r="D34" s="420" t="s">
        <v>239</v>
      </c>
      <c r="E34" s="420" t="s">
        <v>239</v>
      </c>
      <c r="F34" s="420" t="s">
        <v>239</v>
      </c>
      <c r="G34" s="420" t="s">
        <v>239</v>
      </c>
      <c r="H34" s="420" t="s">
        <v>239</v>
      </c>
      <c r="I34" s="420" t="s">
        <v>239</v>
      </c>
      <c r="J34" s="420" t="s">
        <v>239</v>
      </c>
      <c r="K34" s="13">
        <v>310027</v>
      </c>
      <c r="L34" s="420" t="s">
        <v>239</v>
      </c>
      <c r="M34" s="420" t="s">
        <v>239</v>
      </c>
      <c r="N34" s="13">
        <v>503475</v>
      </c>
      <c r="O34" s="420" t="s">
        <v>239</v>
      </c>
      <c r="P34" s="420" t="s">
        <v>239</v>
      </c>
      <c r="Q34" s="45">
        <v>813502</v>
      </c>
      <c r="R34" s="45">
        <v>834981</v>
      </c>
      <c r="S34" s="322">
        <v>0</v>
      </c>
    </row>
    <row r="35" spans="1:19" s="21" customFormat="1" ht="20.100000000000001" customHeight="1">
      <c r="A35" s="64"/>
      <c r="B35" s="17" t="s">
        <v>150</v>
      </c>
      <c r="C35" s="18"/>
      <c r="D35" s="13">
        <v>66242</v>
      </c>
      <c r="E35" s="13">
        <v>277889</v>
      </c>
      <c r="F35" s="13">
        <v>75028</v>
      </c>
      <c r="G35" s="13">
        <v>479210</v>
      </c>
      <c r="H35" s="420" t="s">
        <v>239</v>
      </c>
      <c r="I35" s="13">
        <v>23464</v>
      </c>
      <c r="J35" s="13">
        <v>139395</v>
      </c>
      <c r="K35" s="13">
        <v>678595</v>
      </c>
      <c r="L35" s="13">
        <v>409048</v>
      </c>
      <c r="M35" s="13">
        <v>107048</v>
      </c>
      <c r="N35" s="13">
        <v>537034</v>
      </c>
      <c r="O35" s="13">
        <v>5188</v>
      </c>
      <c r="P35" s="420" t="s">
        <v>239</v>
      </c>
      <c r="Q35" s="13">
        <v>2798141</v>
      </c>
      <c r="R35" s="13">
        <v>3097739</v>
      </c>
      <c r="S35" s="395">
        <v>2518794</v>
      </c>
    </row>
    <row r="36" spans="1:19" s="27" customFormat="1" ht="30" customHeight="1">
      <c r="A36" s="65"/>
      <c r="B36" s="66" t="s">
        <v>175</v>
      </c>
      <c r="C36" s="67"/>
      <c r="D36" s="68">
        <v>792911</v>
      </c>
      <c r="E36" s="68">
        <v>1140885</v>
      </c>
      <c r="F36" s="68">
        <v>814003</v>
      </c>
      <c r="G36" s="68">
        <v>1065436</v>
      </c>
      <c r="H36" s="68">
        <v>754354</v>
      </c>
      <c r="I36" s="68">
        <v>415453</v>
      </c>
      <c r="J36" s="68">
        <v>665981</v>
      </c>
      <c r="K36" s="68">
        <v>1176210</v>
      </c>
      <c r="L36" s="68">
        <v>780677</v>
      </c>
      <c r="M36" s="68">
        <v>780414</v>
      </c>
      <c r="N36" s="68">
        <v>537034</v>
      </c>
      <c r="O36" s="68">
        <v>382115</v>
      </c>
      <c r="P36" s="68">
        <v>272162</v>
      </c>
      <c r="Q36" s="68">
        <v>9577635</v>
      </c>
      <c r="R36" s="68">
        <v>9898127</v>
      </c>
      <c r="S36" s="69">
        <v>8073210</v>
      </c>
    </row>
    <row r="37" spans="1:19" s="21" customFormat="1" ht="20.100000000000001" customHeight="1">
      <c r="A37" s="28"/>
      <c r="B37" s="11" t="s">
        <v>44</v>
      </c>
      <c r="C37" s="29"/>
      <c r="D37" s="45">
        <v>27341.758620689656</v>
      </c>
      <c r="E37" s="45">
        <v>39340.862068965514</v>
      </c>
      <c r="F37" s="45">
        <v>28069.068965517243</v>
      </c>
      <c r="G37" s="45">
        <v>36739.172413793101</v>
      </c>
      <c r="H37" s="45">
        <v>26012.206896551725</v>
      </c>
      <c r="I37" s="45">
        <v>14325.965517241379</v>
      </c>
      <c r="J37" s="45">
        <v>22964.862068965518</v>
      </c>
      <c r="K37" s="45">
        <v>40558.965517241377</v>
      </c>
      <c r="L37" s="45">
        <v>26919.896551724138</v>
      </c>
      <c r="M37" s="45">
        <v>26910.827586206895</v>
      </c>
      <c r="N37" s="45">
        <v>18518.413793103449</v>
      </c>
      <c r="O37" s="45">
        <v>13176.379310344828</v>
      </c>
      <c r="P37" s="45">
        <v>9384.8965517241377</v>
      </c>
      <c r="Q37" s="45">
        <v>330263.27586206899</v>
      </c>
      <c r="R37" s="45">
        <v>319294.41935483873</v>
      </c>
      <c r="S37" s="46">
        <v>288329</v>
      </c>
    </row>
    <row r="38" spans="1:19" s="21" customFormat="1" ht="20.100000000000001" customHeight="1">
      <c r="A38" s="39"/>
      <c r="B38" s="40" t="s">
        <v>45</v>
      </c>
      <c r="C38" s="41"/>
      <c r="D38" s="107">
        <v>201.04234279918865</v>
      </c>
      <c r="E38" s="107">
        <v>214.9773883550028</v>
      </c>
      <c r="F38" s="107">
        <v>188.38301319139089</v>
      </c>
      <c r="G38" s="107">
        <v>189.37717739068609</v>
      </c>
      <c r="H38" s="107">
        <v>216.76839080459771</v>
      </c>
      <c r="I38" s="107">
        <v>191.01287356321839</v>
      </c>
      <c r="J38" s="107">
        <v>186.7061956826465</v>
      </c>
      <c r="K38" s="107">
        <v>237.18693284936478</v>
      </c>
      <c r="L38" s="107">
        <v>263.92055442866803</v>
      </c>
      <c r="M38" s="107">
        <v>238.14891669209641</v>
      </c>
      <c r="N38" s="107">
        <v>228.62239250745</v>
      </c>
      <c r="O38" s="107">
        <v>205.88092672413794</v>
      </c>
      <c r="P38" s="107">
        <v>213.29310344827584</v>
      </c>
      <c r="Q38" s="107">
        <v>212.38795875374211</v>
      </c>
      <c r="R38" s="107">
        <v>212.72113214846019</v>
      </c>
      <c r="S38" s="108">
        <v>206.69</v>
      </c>
    </row>
    <row r="39" spans="1:19" s="21" customFormat="1" ht="12.75" customHeight="1">
      <c r="A39" s="28">
        <v>8</v>
      </c>
      <c r="B39" s="11" t="s">
        <v>46</v>
      </c>
      <c r="C39" s="2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6"/>
    </row>
    <row r="40" spans="1:19" s="21" customFormat="1" ht="20.100000000000001" customHeight="1">
      <c r="A40" s="64"/>
      <c r="B40" s="17" t="s">
        <v>47</v>
      </c>
      <c r="C40" s="18"/>
      <c r="D40" s="13">
        <v>4836</v>
      </c>
      <c r="E40" s="13">
        <v>1308</v>
      </c>
      <c r="F40" s="13">
        <v>10071</v>
      </c>
      <c r="G40" s="13">
        <v>16400</v>
      </c>
      <c r="H40" s="13">
        <v>3984</v>
      </c>
      <c r="I40" s="13">
        <v>12987</v>
      </c>
      <c r="J40" s="13">
        <v>4808</v>
      </c>
      <c r="K40" s="13">
        <v>2741</v>
      </c>
      <c r="L40" s="13">
        <v>136</v>
      </c>
      <c r="M40" s="411">
        <v>237</v>
      </c>
      <c r="N40" s="420" t="s">
        <v>239</v>
      </c>
      <c r="O40" s="13">
        <v>930</v>
      </c>
      <c r="P40" s="13">
        <v>1237</v>
      </c>
      <c r="Q40" s="37">
        <v>59675</v>
      </c>
      <c r="R40" s="37">
        <v>57302</v>
      </c>
      <c r="S40" s="38">
        <v>65092</v>
      </c>
    </row>
    <row r="41" spans="1:19" s="21" customFormat="1" ht="20.100000000000001" customHeight="1">
      <c r="A41" s="64"/>
      <c r="B41" s="17" t="s">
        <v>48</v>
      </c>
      <c r="C41" s="18"/>
      <c r="D41" s="13">
        <v>3048</v>
      </c>
      <c r="E41" s="13">
        <v>17342</v>
      </c>
      <c r="F41" s="13">
        <v>20267</v>
      </c>
      <c r="G41" s="13">
        <v>2971</v>
      </c>
      <c r="H41" s="13">
        <v>3366</v>
      </c>
      <c r="I41" s="13">
        <v>453</v>
      </c>
      <c r="J41" s="13">
        <v>5046</v>
      </c>
      <c r="K41" s="13">
        <v>5653</v>
      </c>
      <c r="L41" s="13">
        <v>9041</v>
      </c>
      <c r="M41" s="13">
        <v>8939</v>
      </c>
      <c r="N41" s="420" t="s">
        <v>239</v>
      </c>
      <c r="O41" s="13">
        <v>5631</v>
      </c>
      <c r="P41" s="13">
        <v>7211</v>
      </c>
      <c r="Q41" s="37">
        <v>88968</v>
      </c>
      <c r="R41" s="37">
        <v>89630</v>
      </c>
      <c r="S41" s="38">
        <v>44553</v>
      </c>
    </row>
    <row r="42" spans="1:19" s="21" customFormat="1" ht="20.100000000000001" customHeight="1">
      <c r="A42" s="64"/>
      <c r="B42" s="17" t="s">
        <v>49</v>
      </c>
      <c r="C42" s="67"/>
      <c r="D42" s="75">
        <v>7884</v>
      </c>
      <c r="E42" s="75">
        <v>18650</v>
      </c>
      <c r="F42" s="75">
        <v>30338</v>
      </c>
      <c r="G42" s="75">
        <v>19371</v>
      </c>
      <c r="H42" s="75">
        <v>7350</v>
      </c>
      <c r="I42" s="75">
        <v>13440</v>
      </c>
      <c r="J42" s="75">
        <v>9854</v>
      </c>
      <c r="K42" s="75">
        <v>8394</v>
      </c>
      <c r="L42" s="75">
        <v>9177</v>
      </c>
      <c r="M42" s="75">
        <v>9176</v>
      </c>
      <c r="N42" s="420" t="s">
        <v>239</v>
      </c>
      <c r="O42" s="75">
        <v>6561</v>
      </c>
      <c r="P42" s="75">
        <v>8448</v>
      </c>
      <c r="Q42" s="68">
        <v>148643</v>
      </c>
      <c r="R42" s="68">
        <v>146932</v>
      </c>
      <c r="S42" s="69">
        <v>109645</v>
      </c>
    </row>
    <row r="43" spans="1:19" s="21" customFormat="1" ht="20.100000000000001" customHeight="1">
      <c r="A43" s="16"/>
      <c r="B43" s="17" t="s">
        <v>50</v>
      </c>
      <c r="C43" s="18"/>
      <c r="D43" s="63">
        <v>167</v>
      </c>
      <c r="E43" s="63">
        <v>45</v>
      </c>
      <c r="F43" s="63">
        <v>347</v>
      </c>
      <c r="G43" s="63">
        <v>566</v>
      </c>
      <c r="H43" s="63">
        <v>137</v>
      </c>
      <c r="I43" s="63">
        <v>448</v>
      </c>
      <c r="J43" s="63">
        <v>166</v>
      </c>
      <c r="K43" s="63">
        <v>95</v>
      </c>
      <c r="L43" s="63">
        <v>5</v>
      </c>
      <c r="M43" s="63">
        <v>8</v>
      </c>
      <c r="N43" s="420" t="s">
        <v>239</v>
      </c>
      <c r="O43" s="63">
        <v>32</v>
      </c>
      <c r="P43" s="63">
        <v>43</v>
      </c>
      <c r="Q43" s="37">
        <v>2057.7586206896553</v>
      </c>
      <c r="R43" s="37">
        <v>1848.4516129032259</v>
      </c>
      <c r="S43" s="38">
        <v>2325</v>
      </c>
    </row>
    <row r="44" spans="1:19" s="21" customFormat="1" ht="20.100000000000001" customHeight="1">
      <c r="A44" s="16"/>
      <c r="B44" s="17" t="s">
        <v>51</v>
      </c>
      <c r="C44" s="18"/>
      <c r="D44" s="37">
        <v>105.10344827586206</v>
      </c>
      <c r="E44" s="37">
        <v>598</v>
      </c>
      <c r="F44" s="37">
        <v>698.86206896551721</v>
      </c>
      <c r="G44" s="37">
        <v>102.44827586206897</v>
      </c>
      <c r="H44" s="37">
        <v>116.06896551724138</v>
      </c>
      <c r="I44" s="37">
        <v>15.620689655172415</v>
      </c>
      <c r="J44" s="37">
        <v>174</v>
      </c>
      <c r="K44" s="37">
        <v>194.93103448275863</v>
      </c>
      <c r="L44" s="37">
        <v>311.75862068965517</v>
      </c>
      <c r="M44" s="37">
        <v>308.24137931034483</v>
      </c>
      <c r="N44" s="420" t="s">
        <v>239</v>
      </c>
      <c r="O44" s="37">
        <v>194.17241379310346</v>
      </c>
      <c r="P44" s="37">
        <v>248.65517241379311</v>
      </c>
      <c r="Q44" s="37">
        <v>3067.8620689655172</v>
      </c>
      <c r="R44" s="37">
        <v>2891.2903225806454</v>
      </c>
      <c r="S44" s="38">
        <v>1591</v>
      </c>
    </row>
    <row r="45" spans="1:19" s="21" customFormat="1" ht="25.5">
      <c r="A45" s="16"/>
      <c r="B45" s="17" t="s">
        <v>52</v>
      </c>
      <c r="C45" s="18"/>
      <c r="D45" s="37">
        <v>272.10344827586209</v>
      </c>
      <c r="E45" s="37">
        <v>643</v>
      </c>
      <c r="F45" s="37">
        <v>1045.8620689655172</v>
      </c>
      <c r="G45" s="37">
        <v>668.44827586206895</v>
      </c>
      <c r="H45" s="37">
        <v>253.06896551724139</v>
      </c>
      <c r="I45" s="37">
        <v>463.62068965517244</v>
      </c>
      <c r="J45" s="37">
        <v>340</v>
      </c>
      <c r="K45" s="37">
        <v>289.93103448275861</v>
      </c>
      <c r="L45" s="37">
        <v>316.75862068965517</v>
      </c>
      <c r="M45" s="37">
        <v>316.24137931034483</v>
      </c>
      <c r="N45" s="420" t="s">
        <v>239</v>
      </c>
      <c r="O45" s="37">
        <v>226.17241379310346</v>
      </c>
      <c r="P45" s="37">
        <v>291.65517241379314</v>
      </c>
      <c r="Q45" s="37">
        <v>5125.6206896551721</v>
      </c>
      <c r="R45" s="37">
        <v>4739.7419354838712</v>
      </c>
      <c r="S45" s="38">
        <v>3916</v>
      </c>
    </row>
    <row r="46" spans="1:19" s="21" customFormat="1" ht="20.100000000000001" customHeight="1">
      <c r="A46" s="16"/>
      <c r="B46" s="17" t="s">
        <v>53</v>
      </c>
      <c r="C46" s="18"/>
      <c r="D46" s="13">
        <v>14979</v>
      </c>
      <c r="E46" s="13">
        <v>16124</v>
      </c>
      <c r="F46" s="13">
        <v>14382</v>
      </c>
      <c r="G46" s="13">
        <v>12557</v>
      </c>
      <c r="H46" s="13">
        <v>6844</v>
      </c>
      <c r="I46" s="13">
        <v>6264</v>
      </c>
      <c r="J46" s="13">
        <v>2115</v>
      </c>
      <c r="K46" s="13">
        <v>4466</v>
      </c>
      <c r="L46" s="13">
        <v>3556</v>
      </c>
      <c r="M46" s="13">
        <v>7300</v>
      </c>
      <c r="N46" s="420" t="s">
        <v>239</v>
      </c>
      <c r="O46" s="13">
        <v>1740</v>
      </c>
      <c r="P46" s="13">
        <v>2120</v>
      </c>
      <c r="Q46" s="76">
        <v>92447</v>
      </c>
      <c r="R46" s="76">
        <v>99348</v>
      </c>
      <c r="S46" s="117">
        <v>92129</v>
      </c>
    </row>
    <row r="47" spans="1:19" s="21" customFormat="1" ht="20.100000000000001" customHeight="1">
      <c r="A47" s="77"/>
      <c r="B47" s="78" t="s">
        <v>54</v>
      </c>
      <c r="C47" s="79"/>
      <c r="D47" s="80">
        <v>517</v>
      </c>
      <c r="E47" s="80">
        <v>556</v>
      </c>
      <c r="F47" s="80">
        <v>496</v>
      </c>
      <c r="G47" s="80">
        <v>433</v>
      </c>
      <c r="H47" s="80">
        <v>236</v>
      </c>
      <c r="I47" s="80">
        <v>216</v>
      </c>
      <c r="J47" s="80">
        <v>73</v>
      </c>
      <c r="K47" s="80">
        <v>154</v>
      </c>
      <c r="L47" s="80">
        <v>123</v>
      </c>
      <c r="M47" s="80">
        <v>252</v>
      </c>
      <c r="N47" s="421" t="s">
        <v>239</v>
      </c>
      <c r="O47" s="80">
        <v>60</v>
      </c>
      <c r="P47" s="80">
        <v>73</v>
      </c>
      <c r="Q47" s="59">
        <v>3187.8275862068967</v>
      </c>
      <c r="R47" s="59">
        <v>3204.7741935483873</v>
      </c>
      <c r="S47" s="60">
        <v>3290</v>
      </c>
    </row>
    <row r="48" spans="1:19" ht="20.100000000000001" customHeight="1">
      <c r="A48" s="81">
        <v>9</v>
      </c>
      <c r="B48" s="82" t="s">
        <v>173</v>
      </c>
      <c r="C48" s="83"/>
      <c r="D48" s="13">
        <v>423020</v>
      </c>
      <c r="E48" s="13">
        <v>44680</v>
      </c>
      <c r="F48" s="13">
        <v>378226</v>
      </c>
      <c r="G48" s="13">
        <v>386237</v>
      </c>
      <c r="H48" s="13">
        <v>418065</v>
      </c>
      <c r="I48" s="13">
        <v>290150</v>
      </c>
      <c r="J48" s="13">
        <v>422730</v>
      </c>
      <c r="K48" s="13">
        <v>188367</v>
      </c>
      <c r="L48" s="13">
        <v>8700</v>
      </c>
      <c r="M48" s="411">
        <v>51927</v>
      </c>
      <c r="N48" s="420" t="s">
        <v>239</v>
      </c>
      <c r="O48" s="13">
        <v>47812</v>
      </c>
      <c r="P48" s="13">
        <v>59931</v>
      </c>
      <c r="Q48" s="45">
        <v>2719845</v>
      </c>
      <c r="R48" s="45">
        <v>2781208</v>
      </c>
      <c r="S48" s="46">
        <v>3765145</v>
      </c>
    </row>
    <row r="49" spans="1:19" ht="20.100000000000001" customHeight="1">
      <c r="A49" s="16"/>
      <c r="B49" s="11" t="s">
        <v>56</v>
      </c>
      <c r="C49" s="18"/>
      <c r="D49" s="13">
        <v>326512</v>
      </c>
      <c r="E49" s="13">
        <v>853090</v>
      </c>
      <c r="F49" s="13">
        <v>405469</v>
      </c>
      <c r="G49" s="13">
        <v>231917</v>
      </c>
      <c r="H49" s="13">
        <v>350483</v>
      </c>
      <c r="I49" s="13">
        <v>121543</v>
      </c>
      <c r="J49" s="13">
        <v>115825</v>
      </c>
      <c r="K49" s="13">
        <v>322108</v>
      </c>
      <c r="L49" s="13">
        <v>375662</v>
      </c>
      <c r="M49" s="13">
        <v>637915</v>
      </c>
      <c r="N49" s="420" t="s">
        <v>239</v>
      </c>
      <c r="O49" s="13">
        <v>337416</v>
      </c>
      <c r="P49" s="13">
        <v>222799</v>
      </c>
      <c r="Q49" s="37">
        <v>4300739</v>
      </c>
      <c r="R49" s="37">
        <v>4265460</v>
      </c>
      <c r="S49" s="38">
        <v>1991042</v>
      </c>
    </row>
    <row r="50" spans="1:19" s="57" customFormat="1" ht="25.5">
      <c r="A50" s="54"/>
      <c r="B50" s="55" t="s">
        <v>187</v>
      </c>
      <c r="C50" s="56"/>
      <c r="D50" s="84">
        <v>749532</v>
      </c>
      <c r="E50" s="84">
        <v>897770</v>
      </c>
      <c r="F50" s="84">
        <v>783695</v>
      </c>
      <c r="G50" s="84">
        <v>618154</v>
      </c>
      <c r="H50" s="84">
        <v>768548</v>
      </c>
      <c r="I50" s="84">
        <v>411693</v>
      </c>
      <c r="J50" s="84">
        <v>538555</v>
      </c>
      <c r="K50" s="84">
        <v>510475</v>
      </c>
      <c r="L50" s="84">
        <v>384362</v>
      </c>
      <c r="M50" s="84">
        <v>689842</v>
      </c>
      <c r="N50" s="420" t="s">
        <v>239</v>
      </c>
      <c r="O50" s="84">
        <v>385228</v>
      </c>
      <c r="P50" s="84">
        <v>282730</v>
      </c>
      <c r="Q50" s="85">
        <v>7020584</v>
      </c>
      <c r="R50" s="85">
        <v>7046668</v>
      </c>
      <c r="S50" s="172">
        <v>5756187</v>
      </c>
    </row>
    <row r="51" spans="1:19" ht="25.5">
      <c r="A51" s="28"/>
      <c r="B51" s="11" t="s">
        <v>58</v>
      </c>
      <c r="C51" s="29"/>
      <c r="D51" s="45">
        <v>14586.896551724138</v>
      </c>
      <c r="E51" s="45">
        <v>1540.6896551724137</v>
      </c>
      <c r="F51" s="45">
        <v>13042.275862068966</v>
      </c>
      <c r="G51" s="45">
        <v>13318.51724137931</v>
      </c>
      <c r="H51" s="45">
        <v>14416.034482758621</v>
      </c>
      <c r="I51" s="45">
        <v>10005.172413793103</v>
      </c>
      <c r="J51" s="45">
        <v>14576.896551724138</v>
      </c>
      <c r="K51" s="45">
        <v>6495.4137931034484</v>
      </c>
      <c r="L51" s="45">
        <v>300</v>
      </c>
      <c r="M51" s="37">
        <v>1790.5862068965516</v>
      </c>
      <c r="N51" s="420" t="s">
        <v>239</v>
      </c>
      <c r="O51" s="45">
        <v>1648.6896551724137</v>
      </c>
      <c r="P51" s="45">
        <v>2066.5862068965516</v>
      </c>
      <c r="Q51" s="45">
        <v>93787.758620689652</v>
      </c>
      <c r="R51" s="45">
        <v>89716.387096774197</v>
      </c>
      <c r="S51" s="46">
        <v>134470</v>
      </c>
    </row>
    <row r="52" spans="1:19" ht="20.100000000000001" customHeight="1">
      <c r="A52" s="16"/>
      <c r="B52" s="11" t="s">
        <v>59</v>
      </c>
      <c r="C52" s="18"/>
      <c r="D52" s="37">
        <v>11259.034482758621</v>
      </c>
      <c r="E52" s="37">
        <v>29416.896551724138</v>
      </c>
      <c r="F52" s="37">
        <v>13981.689655172413</v>
      </c>
      <c r="G52" s="37">
        <v>7997.1379310344828</v>
      </c>
      <c r="H52" s="37">
        <v>12085.620689655172</v>
      </c>
      <c r="I52" s="37">
        <v>4191.1379310344828</v>
      </c>
      <c r="J52" s="37">
        <v>3993.9655172413795</v>
      </c>
      <c r="K52" s="37">
        <v>11107.172413793103</v>
      </c>
      <c r="L52" s="37">
        <v>12953.862068965518</v>
      </c>
      <c r="M52" s="37">
        <v>21997.068965517243</v>
      </c>
      <c r="N52" s="420" t="s">
        <v>239</v>
      </c>
      <c r="O52" s="37">
        <v>11635.034482758621</v>
      </c>
      <c r="P52" s="37">
        <v>7682.7241379310344</v>
      </c>
      <c r="Q52" s="37">
        <v>148301.3448275862</v>
      </c>
      <c r="R52" s="37">
        <v>137595.48387096773</v>
      </c>
      <c r="S52" s="38">
        <v>71109</v>
      </c>
    </row>
    <row r="53" spans="1:19" ht="18" customHeight="1">
      <c r="A53" s="39"/>
      <c r="B53" s="40" t="s">
        <v>60</v>
      </c>
      <c r="C53" s="41"/>
      <c r="D53" s="59">
        <v>25845.931034482761</v>
      </c>
      <c r="E53" s="59">
        <v>30957.586206896551</v>
      </c>
      <c r="F53" s="59">
        <v>27023.965517241377</v>
      </c>
      <c r="G53" s="59">
        <v>21315.655172413793</v>
      </c>
      <c r="H53" s="59">
        <v>26501.655172413793</v>
      </c>
      <c r="I53" s="59">
        <v>14196.310344827587</v>
      </c>
      <c r="J53" s="59">
        <v>18570.862068965518</v>
      </c>
      <c r="K53" s="59">
        <v>17602.586206896551</v>
      </c>
      <c r="L53" s="59">
        <v>13253.862068965518</v>
      </c>
      <c r="M53" s="59">
        <v>23787.655172413793</v>
      </c>
      <c r="N53" s="421" t="s">
        <v>239</v>
      </c>
      <c r="O53" s="59">
        <v>13283.724137931034</v>
      </c>
      <c r="P53" s="59">
        <v>9749.310344827587</v>
      </c>
      <c r="Q53" s="59">
        <v>242089.10344827586</v>
      </c>
      <c r="R53" s="59">
        <v>227311.87096774194</v>
      </c>
      <c r="S53" s="60">
        <v>205578</v>
      </c>
    </row>
    <row r="54" spans="1:19" s="33" customFormat="1" ht="20.100000000000001" customHeight="1">
      <c r="A54" s="65">
        <v>10</v>
      </c>
      <c r="B54" s="66" t="s">
        <v>61</v>
      </c>
      <c r="C54" s="86"/>
      <c r="D54" s="45">
        <v>178415</v>
      </c>
      <c r="E54" s="45">
        <v>252800</v>
      </c>
      <c r="F54" s="45">
        <v>77953</v>
      </c>
      <c r="G54" s="45">
        <v>111903</v>
      </c>
      <c r="H54" s="45">
        <v>128577</v>
      </c>
      <c r="I54" s="45">
        <v>55928</v>
      </c>
      <c r="J54" s="45">
        <v>76187</v>
      </c>
      <c r="K54" s="45">
        <v>167618</v>
      </c>
      <c r="L54" s="45">
        <v>10466</v>
      </c>
      <c r="M54" s="45">
        <v>103724</v>
      </c>
      <c r="N54" s="45">
        <v>56181</v>
      </c>
      <c r="O54" s="45">
        <v>50553</v>
      </c>
      <c r="P54" s="45">
        <v>0</v>
      </c>
      <c r="Q54" s="45">
        <v>1268017</v>
      </c>
      <c r="R54" s="45">
        <v>1670305</v>
      </c>
      <c r="S54" s="46">
        <v>2820281</v>
      </c>
    </row>
    <row r="55" spans="1:19" ht="16.5" customHeight="1">
      <c r="A55" s="39"/>
      <c r="B55" s="40" t="s">
        <v>62</v>
      </c>
      <c r="C55" s="41"/>
      <c r="D55" s="59">
        <v>6152.2413793103451</v>
      </c>
      <c r="E55" s="59">
        <v>8717.2413793103442</v>
      </c>
      <c r="F55" s="59">
        <v>2688.0344827586205</v>
      </c>
      <c r="G55" s="59">
        <v>3858.7241379310344</v>
      </c>
      <c r="H55" s="59">
        <v>4433.6896551724139</v>
      </c>
      <c r="I55" s="59">
        <v>1928.5517241379309</v>
      </c>
      <c r="J55" s="59">
        <v>2627.1379310344828</v>
      </c>
      <c r="K55" s="59">
        <v>5779.9310344827591</v>
      </c>
      <c r="L55" s="59">
        <v>360.89655172413791</v>
      </c>
      <c r="M55" s="59">
        <v>3576.6896551724139</v>
      </c>
      <c r="N55" s="59">
        <v>1937.2758620689656</v>
      </c>
      <c r="O55" s="59">
        <v>1743.2068965517242</v>
      </c>
      <c r="P55" s="59">
        <v>0</v>
      </c>
      <c r="Q55" s="59">
        <v>43724.724137931036</v>
      </c>
      <c r="R55" s="59">
        <v>53880.806451612902</v>
      </c>
      <c r="S55" s="60">
        <v>100724</v>
      </c>
    </row>
    <row r="56" spans="1:19" s="15" customFormat="1" ht="33.75" customHeight="1">
      <c r="A56" s="10">
        <v>11</v>
      </c>
      <c r="B56" s="11" t="s">
        <v>63</v>
      </c>
      <c r="C56" s="35"/>
      <c r="D56" s="36">
        <v>28987269</v>
      </c>
      <c r="E56" s="36">
        <v>40065384</v>
      </c>
      <c r="F56" s="36">
        <v>33454561</v>
      </c>
      <c r="G56" s="36">
        <v>47971448</v>
      </c>
      <c r="H56" s="36">
        <v>29790445</v>
      </c>
      <c r="I56" s="36">
        <v>17443276</v>
      </c>
      <c r="J56" s="36">
        <v>27519055</v>
      </c>
      <c r="K56" s="36">
        <v>36671490</v>
      </c>
      <c r="L56" s="36">
        <v>27284025</v>
      </c>
      <c r="M56" s="36">
        <v>23912925</v>
      </c>
      <c r="N56" s="36">
        <v>23258690</v>
      </c>
      <c r="O56" s="36">
        <v>14777781</v>
      </c>
      <c r="P56" s="36">
        <v>9498715</v>
      </c>
      <c r="Q56" s="87">
        <v>360635064</v>
      </c>
      <c r="R56" s="87">
        <v>387803526</v>
      </c>
      <c r="S56" s="173">
        <v>310807657</v>
      </c>
    </row>
    <row r="57" spans="1:19" s="21" customFormat="1" ht="16.5" customHeight="1">
      <c r="A57" s="16"/>
      <c r="B57" s="17" t="s">
        <v>64</v>
      </c>
      <c r="C57" s="18"/>
      <c r="D57" s="44">
        <v>999561</v>
      </c>
      <c r="E57" s="44">
        <v>1381565</v>
      </c>
      <c r="F57" s="44">
        <v>1153606</v>
      </c>
      <c r="G57" s="44">
        <v>1654188</v>
      </c>
      <c r="H57" s="44">
        <v>1027257</v>
      </c>
      <c r="I57" s="44">
        <v>601492</v>
      </c>
      <c r="J57" s="44">
        <v>948933</v>
      </c>
      <c r="K57" s="44">
        <v>1264534</v>
      </c>
      <c r="L57" s="44">
        <v>940828</v>
      </c>
      <c r="M57" s="44">
        <v>824584</v>
      </c>
      <c r="N57" s="44">
        <v>802024</v>
      </c>
      <c r="O57" s="44">
        <v>509579</v>
      </c>
      <c r="P57" s="44">
        <v>327542</v>
      </c>
      <c r="Q57" s="45">
        <v>12435693</v>
      </c>
      <c r="R57" s="45">
        <v>12509791</v>
      </c>
      <c r="S57" s="46">
        <v>11100273</v>
      </c>
    </row>
    <row r="58" spans="1:19" s="15" customFormat="1" ht="20.100000000000001" customHeight="1">
      <c r="A58" s="88"/>
      <c r="B58" s="50" t="s">
        <v>65</v>
      </c>
      <c r="C58" s="89"/>
      <c r="D58" s="90">
        <v>13.940764683787995</v>
      </c>
      <c r="E58" s="90">
        <v>14.98635848640917</v>
      </c>
      <c r="F58" s="90">
        <v>13.030851435106273</v>
      </c>
      <c r="G58" s="90">
        <v>13.014826197506828</v>
      </c>
      <c r="H58" s="90">
        <v>13.465183605540755</v>
      </c>
      <c r="I58" s="90">
        <v>12.44079817302878</v>
      </c>
      <c r="J58" s="90">
        <v>13.437892542007061</v>
      </c>
      <c r="K58" s="90">
        <v>14.791899675696605</v>
      </c>
      <c r="L58" s="90">
        <v>16.097683466251461</v>
      </c>
      <c r="M58" s="90">
        <v>14.306718486007341</v>
      </c>
      <c r="N58" s="90">
        <v>14.6919606592171</v>
      </c>
      <c r="O58" s="90">
        <v>13.434660787745177</v>
      </c>
      <c r="P58" s="90">
        <v>13.521056549843207</v>
      </c>
      <c r="Q58" s="90">
        <v>13.924411894676668</v>
      </c>
      <c r="R58" s="90">
        <v>13.86946225707605</v>
      </c>
      <c r="S58" s="91">
        <v>13.95</v>
      </c>
    </row>
    <row r="59" spans="1:19" s="21" customFormat="1" ht="25.5">
      <c r="A59" s="77"/>
      <c r="B59" s="78" t="s">
        <v>66</v>
      </c>
      <c r="C59" s="79"/>
      <c r="D59" s="92">
        <v>7349.713235294118</v>
      </c>
      <c r="E59" s="92">
        <v>7549.5355191256831</v>
      </c>
      <c r="F59" s="92">
        <v>7742.3221476510071</v>
      </c>
      <c r="G59" s="92">
        <v>8526.7422680412365</v>
      </c>
      <c r="H59" s="92">
        <v>8560.4750000000004</v>
      </c>
      <c r="I59" s="92">
        <v>8019.8933333333334</v>
      </c>
      <c r="J59" s="92">
        <v>7714.9024390243903</v>
      </c>
      <c r="K59" s="92">
        <v>7394.9356725146199</v>
      </c>
      <c r="L59" s="92">
        <v>9223.8039215686276</v>
      </c>
      <c r="M59" s="92">
        <v>7297.2035398230091</v>
      </c>
      <c r="N59" s="92">
        <v>9901.5308641975316</v>
      </c>
      <c r="O59" s="92">
        <v>7962.171875</v>
      </c>
      <c r="P59" s="92">
        <v>7444.136363636364</v>
      </c>
      <c r="Q59" s="92">
        <v>7997.2302250803859</v>
      </c>
      <c r="R59" s="92">
        <v>8334.3044636908726</v>
      </c>
      <c r="S59" s="93">
        <v>7957.184946236559</v>
      </c>
    </row>
    <row r="60" spans="1:19" s="21" customFormat="1" ht="20.100000000000001" customHeight="1" thickBot="1">
      <c r="A60" s="70">
        <v>12</v>
      </c>
      <c r="B60" s="71" t="s">
        <v>67</v>
      </c>
      <c r="C60" s="72"/>
      <c r="D60" s="73">
        <v>36.558036147814825</v>
      </c>
      <c r="E60" s="73">
        <v>35.117811172905242</v>
      </c>
      <c r="F60" s="73">
        <v>41.098817817624749</v>
      </c>
      <c r="G60" s="73">
        <v>45.025180301773169</v>
      </c>
      <c r="H60" s="73">
        <v>39.491332981597502</v>
      </c>
      <c r="I60" s="73">
        <v>41.986159685933188</v>
      </c>
      <c r="J60" s="73">
        <v>41.321081232047163</v>
      </c>
      <c r="K60" s="73">
        <v>31.177672354426505</v>
      </c>
      <c r="L60" s="73">
        <v>34.949185130341995</v>
      </c>
      <c r="M60" s="73">
        <v>30.641332677271294</v>
      </c>
      <c r="N60" s="73">
        <v>43.309529750444106</v>
      </c>
      <c r="O60" s="73">
        <v>38.673647985554091</v>
      </c>
      <c r="P60" s="73">
        <v>34.900959722518209</v>
      </c>
      <c r="Q60" s="73">
        <v>37.653874260190541</v>
      </c>
      <c r="R60" s="73">
        <v>39.179485775440142</v>
      </c>
      <c r="S60" s="74">
        <v>38.5</v>
      </c>
    </row>
    <row r="61" spans="1:19" s="15" customFormat="1" ht="21.75" customHeight="1" thickTop="1">
      <c r="A61" s="10">
        <v>13</v>
      </c>
      <c r="B61" s="11" t="s">
        <v>68</v>
      </c>
      <c r="C61" s="3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58"/>
    </row>
    <row r="62" spans="1:19" s="21" customFormat="1" ht="18" customHeight="1">
      <c r="A62" s="16"/>
      <c r="B62" s="17" t="s">
        <v>69</v>
      </c>
      <c r="C62" s="18"/>
      <c r="D62" s="97">
        <v>54.466680792334351</v>
      </c>
      <c r="E62" s="97">
        <v>52.320934405401132</v>
      </c>
      <c r="F62" s="97">
        <v>61.231850145448078</v>
      </c>
      <c r="G62" s="97">
        <v>67.081615467480887</v>
      </c>
      <c r="H62" s="97">
        <v>58.836908494632745</v>
      </c>
      <c r="I62" s="97">
        <v>62.553873191199614</v>
      </c>
      <c r="J62" s="97">
        <v>61.562993492322946</v>
      </c>
      <c r="K62" s="97">
        <v>46.450644151410167</v>
      </c>
      <c r="L62" s="97">
        <v>52.069703710283065</v>
      </c>
      <c r="M62" s="97">
        <v>45.651568351119323</v>
      </c>
      <c r="N62" s="97">
        <v>64.525521082306469</v>
      </c>
      <c r="O62" s="97">
        <v>57.618665055950672</v>
      </c>
      <c r="P62" s="97">
        <v>51.997854175384695</v>
      </c>
      <c r="Q62" s="97">
        <v>56.099335906124161</v>
      </c>
      <c r="R62" s="97">
        <v>58.224826535057417</v>
      </c>
      <c r="S62" s="98">
        <v>54.94</v>
      </c>
    </row>
    <row r="63" spans="1:19" s="27" customFormat="1" ht="67.5" customHeight="1">
      <c r="A63" s="65"/>
      <c r="B63" s="99" t="s">
        <v>176</v>
      </c>
      <c r="C63" s="67"/>
      <c r="D63" s="100">
        <v>68.176400476758033</v>
      </c>
      <c r="E63" s="100">
        <v>67.803933253873652</v>
      </c>
      <c r="F63" s="100">
        <v>74.255065554231223</v>
      </c>
      <c r="G63" s="100">
        <v>80.244338498212159</v>
      </c>
      <c r="H63" s="100">
        <v>74.076281287246715</v>
      </c>
      <c r="I63" s="100">
        <v>75.759833134684143</v>
      </c>
      <c r="J63" s="100">
        <v>74.091179976162095</v>
      </c>
      <c r="K63" s="100">
        <v>59.564958283671032</v>
      </c>
      <c r="L63" s="100">
        <v>68.414779499404048</v>
      </c>
      <c r="M63" s="100">
        <v>59.386174016686525</v>
      </c>
      <c r="N63" s="100">
        <v>79.022646007151366</v>
      </c>
      <c r="O63" s="100">
        <v>70.351609058402857</v>
      </c>
      <c r="P63" s="100">
        <v>64.839094159713952</v>
      </c>
      <c r="Q63" s="100">
        <v>70.041714676946896</v>
      </c>
      <c r="R63" s="100">
        <v>72.88987003978238</v>
      </c>
      <c r="S63" s="174">
        <v>69.42</v>
      </c>
    </row>
    <row r="64" spans="1:19" s="21" customFormat="1" ht="32.1" customHeight="1">
      <c r="A64" s="16">
        <v>14</v>
      </c>
      <c r="B64" s="17" t="s">
        <v>193</v>
      </c>
      <c r="C64" s="89"/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3" t="s">
        <v>72</v>
      </c>
      <c r="N64" s="63" t="s">
        <v>72</v>
      </c>
      <c r="O64" s="63" t="s">
        <v>72</v>
      </c>
      <c r="P64" s="63" t="s">
        <v>72</v>
      </c>
      <c r="Q64" s="63">
        <v>83.51</v>
      </c>
      <c r="R64" s="63">
        <v>83.51</v>
      </c>
      <c r="S64" s="20">
        <v>76.98</v>
      </c>
    </row>
    <row r="65" spans="1:19" s="15" customFormat="1" ht="25.5" customHeight="1">
      <c r="A65" s="88">
        <v>15</v>
      </c>
      <c r="B65" s="17" t="s">
        <v>73</v>
      </c>
      <c r="C65" s="89"/>
      <c r="D65" s="90">
        <v>75.449101796407177</v>
      </c>
      <c r="E65" s="90">
        <v>65.5</v>
      </c>
      <c r="F65" s="90">
        <v>66.028708133971293</v>
      </c>
      <c r="G65" s="90">
        <v>74.675324675324674</v>
      </c>
      <c r="H65" s="90">
        <v>71.341463414634148</v>
      </c>
      <c r="I65" s="90">
        <v>69.306930693069305</v>
      </c>
      <c r="J65" s="90">
        <v>79.527559055118118</v>
      </c>
      <c r="K65" s="90">
        <v>72.222222222222214</v>
      </c>
      <c r="L65" s="90">
        <v>92.592592592592595</v>
      </c>
      <c r="M65" s="90">
        <v>64.238410596026483</v>
      </c>
      <c r="N65" s="420" t="s">
        <v>239</v>
      </c>
      <c r="O65" s="90">
        <v>67.741935483870961</v>
      </c>
      <c r="P65" s="90">
        <v>53.01204819277109</v>
      </c>
      <c r="Q65" s="90">
        <v>70.142768466790812</v>
      </c>
      <c r="R65" s="90">
        <v>64.981504315659677</v>
      </c>
      <c r="S65" s="91">
        <v>70.430000000000007</v>
      </c>
    </row>
    <row r="66" spans="1:19" s="15" customFormat="1" ht="32.1" customHeight="1">
      <c r="A66" s="88">
        <v>16</v>
      </c>
      <c r="B66" s="17" t="s">
        <v>74</v>
      </c>
      <c r="C66" s="89"/>
      <c r="D66" s="90">
        <v>205.12643678160921</v>
      </c>
      <c r="E66" s="90">
        <v>236.31745196104237</v>
      </c>
      <c r="F66" s="90">
        <v>195.82583708145924</v>
      </c>
      <c r="G66" s="90">
        <v>185.3535232383808</v>
      </c>
      <c r="H66" s="90">
        <v>226.50987326849395</v>
      </c>
      <c r="I66" s="90">
        <v>202.80443349753696</v>
      </c>
      <c r="J66" s="90">
        <v>183.86992147490611</v>
      </c>
      <c r="K66" s="90">
        <v>225.67418213969935</v>
      </c>
      <c r="L66" s="90">
        <v>265.07724137931035</v>
      </c>
      <c r="M66" s="90">
        <v>245.23355847849271</v>
      </c>
      <c r="N66" s="420" t="s">
        <v>239</v>
      </c>
      <c r="O66" s="90">
        <v>210.8527640941434</v>
      </c>
      <c r="P66" s="90">
        <v>221.57523510971788</v>
      </c>
      <c r="Q66" s="90">
        <v>214.23814464449191</v>
      </c>
      <c r="R66" s="90">
        <v>215.66591173410052</v>
      </c>
      <c r="S66" s="91">
        <v>211.5</v>
      </c>
    </row>
    <row r="67" spans="1:19" s="21" customFormat="1" ht="32.1" customHeight="1">
      <c r="A67" s="28">
        <v>17</v>
      </c>
      <c r="B67" s="11" t="s">
        <v>75</v>
      </c>
      <c r="C67" s="35"/>
      <c r="D67" s="36">
        <v>71700.586206896551</v>
      </c>
      <c r="E67" s="36">
        <v>92188.172413793101</v>
      </c>
      <c r="F67" s="36">
        <v>88528.827586206899</v>
      </c>
      <c r="G67" s="36">
        <v>127100.27586206897</v>
      </c>
      <c r="H67" s="36">
        <v>76289.862068965522</v>
      </c>
      <c r="I67" s="36">
        <v>48348.34482758621</v>
      </c>
      <c r="J67" s="36">
        <v>70616.206896551725</v>
      </c>
      <c r="K67" s="36">
        <v>85488.275862068971</v>
      </c>
      <c r="L67" s="36">
        <v>58444.931034482761</v>
      </c>
      <c r="M67" s="36">
        <v>57636.137931034486</v>
      </c>
      <c r="N67" s="36">
        <v>54589.310344827587</v>
      </c>
      <c r="O67" s="36">
        <v>37930.172413793101</v>
      </c>
      <c r="P67" s="36">
        <v>24224.586206896551</v>
      </c>
      <c r="Q67" s="45">
        <v>893085.68965517252</v>
      </c>
      <c r="R67" s="45">
        <v>901966.54838709696</v>
      </c>
      <c r="S67" s="46">
        <v>795502</v>
      </c>
    </row>
    <row r="68" spans="1:19" s="15" customFormat="1" ht="20.100000000000001" customHeight="1">
      <c r="A68" s="51"/>
      <c r="B68" s="40" t="s">
        <v>76</v>
      </c>
      <c r="C68" s="53"/>
      <c r="D68" s="59">
        <v>527.21019269776878</v>
      </c>
      <c r="E68" s="59">
        <v>503.76050499340494</v>
      </c>
      <c r="F68" s="59">
        <v>594.15320527655638</v>
      </c>
      <c r="G68" s="59">
        <v>655.1560611446854</v>
      </c>
      <c r="H68" s="59">
        <v>635.74885057471272</v>
      </c>
      <c r="I68" s="59">
        <v>644.64459770114945</v>
      </c>
      <c r="J68" s="59">
        <v>574.11550322399773</v>
      </c>
      <c r="K68" s="59">
        <v>499.93143778987701</v>
      </c>
      <c r="L68" s="59">
        <v>572.98951994590936</v>
      </c>
      <c r="M68" s="59">
        <v>510.0543179737565</v>
      </c>
      <c r="N68" s="59">
        <v>673.94210302256283</v>
      </c>
      <c r="O68" s="59">
        <v>592.65894396551721</v>
      </c>
      <c r="P68" s="59">
        <v>550.55877742946711</v>
      </c>
      <c r="Q68" s="59">
        <v>574.33163321876043</v>
      </c>
      <c r="R68" s="59">
        <v>600.91042530785944</v>
      </c>
      <c r="S68" s="60">
        <v>570</v>
      </c>
    </row>
    <row r="69" spans="1:19" s="21" customFormat="1" ht="30.75" customHeight="1">
      <c r="A69" s="28">
        <v>18</v>
      </c>
      <c r="B69" s="11" t="s">
        <v>77</v>
      </c>
      <c r="C69" s="35"/>
      <c r="D69" s="44" t="s">
        <v>72</v>
      </c>
      <c r="E69" s="44" t="s">
        <v>72</v>
      </c>
      <c r="F69" s="44" t="s">
        <v>72</v>
      </c>
      <c r="G69" s="44" t="s">
        <v>72</v>
      </c>
      <c r="H69" s="44" t="s">
        <v>72</v>
      </c>
      <c r="I69" s="44" t="s">
        <v>72</v>
      </c>
      <c r="J69" s="44" t="s">
        <v>72</v>
      </c>
      <c r="K69" s="44" t="s">
        <v>72</v>
      </c>
      <c r="L69" s="44" t="s">
        <v>72</v>
      </c>
      <c r="M69" s="44" t="s">
        <v>72</v>
      </c>
      <c r="N69" s="44" t="s">
        <v>72</v>
      </c>
      <c r="O69" s="44" t="s">
        <v>72</v>
      </c>
      <c r="P69" s="44" t="s">
        <v>72</v>
      </c>
      <c r="Q69" s="44">
        <v>679300</v>
      </c>
      <c r="R69" s="44">
        <v>701900</v>
      </c>
      <c r="S69" s="14">
        <v>656800</v>
      </c>
    </row>
    <row r="70" spans="1:19" s="15" customFormat="1" ht="20.100000000000001" customHeight="1">
      <c r="A70" s="10">
        <v>19</v>
      </c>
      <c r="B70" s="11" t="s">
        <v>78</v>
      </c>
      <c r="C70" s="35"/>
      <c r="D70" s="13" t="s">
        <v>72</v>
      </c>
      <c r="E70" s="13" t="s">
        <v>72</v>
      </c>
      <c r="F70" s="13" t="s">
        <v>72</v>
      </c>
      <c r="G70" s="13" t="s">
        <v>72</v>
      </c>
      <c r="H70" s="13" t="s">
        <v>72</v>
      </c>
      <c r="I70" s="13" t="s">
        <v>72</v>
      </c>
      <c r="J70" s="13" t="s">
        <v>72</v>
      </c>
      <c r="K70" s="13" t="s">
        <v>72</v>
      </c>
      <c r="L70" s="13" t="s">
        <v>72</v>
      </c>
      <c r="M70" s="13" t="s">
        <v>72</v>
      </c>
      <c r="N70" s="13" t="s">
        <v>72</v>
      </c>
      <c r="O70" s="13" t="s">
        <v>72</v>
      </c>
      <c r="P70" s="13" t="s">
        <v>72</v>
      </c>
      <c r="Q70" s="13">
        <v>15</v>
      </c>
      <c r="R70" s="13">
        <v>18</v>
      </c>
      <c r="S70" s="58">
        <v>9</v>
      </c>
    </row>
    <row r="71" spans="1:19" s="15" customFormat="1" ht="24.75" customHeight="1">
      <c r="A71" s="51"/>
      <c r="B71" s="40" t="s">
        <v>79</v>
      </c>
      <c r="C71" s="53"/>
      <c r="D71" s="105" t="s">
        <v>72</v>
      </c>
      <c r="E71" s="105" t="s">
        <v>72</v>
      </c>
      <c r="F71" s="105" t="s">
        <v>72</v>
      </c>
      <c r="G71" s="105" t="s">
        <v>72</v>
      </c>
      <c r="H71" s="105" t="s">
        <v>72</v>
      </c>
      <c r="I71" s="105" t="s">
        <v>72</v>
      </c>
      <c r="J71" s="105" t="s">
        <v>72</v>
      </c>
      <c r="K71" s="105" t="s">
        <v>72</v>
      </c>
      <c r="L71" s="105" t="s">
        <v>72</v>
      </c>
      <c r="M71" s="105" t="s">
        <v>72</v>
      </c>
      <c r="N71" s="105" t="s">
        <v>72</v>
      </c>
      <c r="O71" s="105" t="s">
        <v>72</v>
      </c>
      <c r="P71" s="105" t="s">
        <v>72</v>
      </c>
      <c r="Q71" s="105">
        <v>302</v>
      </c>
      <c r="R71" s="105">
        <v>655</v>
      </c>
      <c r="S71" s="106">
        <v>503</v>
      </c>
    </row>
    <row r="72" spans="1:19" s="15" customFormat="1" ht="29.25" customHeight="1">
      <c r="A72" s="10">
        <v>20</v>
      </c>
      <c r="B72" s="11" t="s">
        <v>80</v>
      </c>
      <c r="C72" s="35"/>
      <c r="D72" s="13" t="s">
        <v>72</v>
      </c>
      <c r="E72" s="13" t="s">
        <v>72</v>
      </c>
      <c r="F72" s="13" t="s">
        <v>72</v>
      </c>
      <c r="G72" s="13" t="s">
        <v>72</v>
      </c>
      <c r="H72" s="13" t="s">
        <v>72</v>
      </c>
      <c r="I72" s="13" t="s">
        <v>72</v>
      </c>
      <c r="J72" s="13" t="s">
        <v>72</v>
      </c>
      <c r="K72" s="13" t="s">
        <v>72</v>
      </c>
      <c r="L72" s="13" t="s">
        <v>72</v>
      </c>
      <c r="M72" s="13" t="s">
        <v>72</v>
      </c>
      <c r="N72" s="13" t="s">
        <v>72</v>
      </c>
      <c r="O72" s="13" t="s">
        <v>72</v>
      </c>
      <c r="P72" s="13" t="s">
        <v>72</v>
      </c>
      <c r="Q72" s="13">
        <v>35944</v>
      </c>
      <c r="R72" s="13">
        <v>44824</v>
      </c>
      <c r="S72" s="58">
        <v>34558</v>
      </c>
    </row>
    <row r="73" spans="1:19" s="21" customFormat="1" ht="30" customHeight="1">
      <c r="A73" s="16"/>
      <c r="B73" s="17" t="s">
        <v>177</v>
      </c>
      <c r="C73" s="89"/>
      <c r="D73" s="63" t="s">
        <v>72</v>
      </c>
      <c r="E73" s="63" t="s">
        <v>72</v>
      </c>
      <c r="F73" s="63" t="s">
        <v>72</v>
      </c>
      <c r="G73" s="63" t="s">
        <v>72</v>
      </c>
      <c r="H73" s="63" t="s">
        <v>72</v>
      </c>
      <c r="I73" s="63" t="s">
        <v>72</v>
      </c>
      <c r="J73" s="63" t="s">
        <v>72</v>
      </c>
      <c r="K73" s="63" t="s">
        <v>72</v>
      </c>
      <c r="L73" s="63" t="s">
        <v>72</v>
      </c>
      <c r="M73" s="63" t="s">
        <v>72</v>
      </c>
      <c r="N73" s="63" t="s">
        <v>72</v>
      </c>
      <c r="O73" s="63" t="s">
        <v>72</v>
      </c>
      <c r="P73" s="63" t="s">
        <v>72</v>
      </c>
      <c r="Q73" s="63">
        <v>24669150</v>
      </c>
      <c r="R73" s="63">
        <v>30365580</v>
      </c>
      <c r="S73" s="20">
        <v>23954100</v>
      </c>
    </row>
    <row r="74" spans="1:19" s="21" customFormat="1" ht="30.75" customHeight="1">
      <c r="A74" s="39"/>
      <c r="B74" s="40" t="s">
        <v>82</v>
      </c>
      <c r="C74" s="53"/>
      <c r="D74" s="80" t="s">
        <v>72</v>
      </c>
      <c r="E74" s="80" t="s">
        <v>72</v>
      </c>
      <c r="F74" s="80" t="s">
        <v>72</v>
      </c>
      <c r="G74" s="80" t="s">
        <v>72</v>
      </c>
      <c r="H74" s="80" t="s">
        <v>72</v>
      </c>
      <c r="I74" s="80" t="s">
        <v>72</v>
      </c>
      <c r="J74" s="80" t="s">
        <v>72</v>
      </c>
      <c r="K74" s="80" t="s">
        <v>72</v>
      </c>
      <c r="L74" s="80" t="s">
        <v>72</v>
      </c>
      <c r="M74" s="80" t="s">
        <v>72</v>
      </c>
      <c r="N74" s="80" t="s">
        <v>72</v>
      </c>
      <c r="O74" s="80" t="s">
        <v>72</v>
      </c>
      <c r="P74" s="80" t="s">
        <v>72</v>
      </c>
      <c r="Q74" s="107">
        <v>2.5757037097362763</v>
      </c>
      <c r="R74" s="107">
        <v>3.0678107080258719</v>
      </c>
      <c r="S74" s="108">
        <v>2.97</v>
      </c>
    </row>
    <row r="75" spans="1:19" s="21" customFormat="1" ht="22.5" customHeight="1">
      <c r="A75" s="28">
        <v>21</v>
      </c>
      <c r="B75" s="11" t="s">
        <v>83</v>
      </c>
      <c r="C75" s="35"/>
      <c r="D75" s="44" t="s">
        <v>72</v>
      </c>
      <c r="E75" s="44" t="s">
        <v>72</v>
      </c>
      <c r="F75" s="44" t="s">
        <v>72</v>
      </c>
      <c r="G75" s="44" t="s">
        <v>72</v>
      </c>
      <c r="H75" s="44" t="s">
        <v>72</v>
      </c>
      <c r="I75" s="44" t="s">
        <v>72</v>
      </c>
      <c r="J75" s="44" t="s">
        <v>72</v>
      </c>
      <c r="K75" s="44" t="s">
        <v>72</v>
      </c>
      <c r="L75" s="44" t="s">
        <v>72</v>
      </c>
      <c r="M75" s="44" t="s">
        <v>72</v>
      </c>
      <c r="N75" s="44" t="s">
        <v>72</v>
      </c>
      <c r="O75" s="44" t="s">
        <v>72</v>
      </c>
      <c r="P75" s="44" t="s">
        <v>72</v>
      </c>
      <c r="Q75" s="44">
        <v>553339</v>
      </c>
      <c r="R75" s="44">
        <v>601598</v>
      </c>
      <c r="S75" s="14">
        <v>473220</v>
      </c>
    </row>
    <row r="76" spans="1:19" ht="25.5">
      <c r="A76" s="16"/>
      <c r="B76" s="17" t="s">
        <v>84</v>
      </c>
      <c r="C76" s="89">
        <v>133329</v>
      </c>
      <c r="D76" s="63" t="s">
        <v>72</v>
      </c>
      <c r="E76" s="63" t="s">
        <v>72</v>
      </c>
      <c r="F76" s="63" t="s">
        <v>72</v>
      </c>
      <c r="G76" s="63" t="s">
        <v>72</v>
      </c>
      <c r="H76" s="63" t="s">
        <v>72</v>
      </c>
      <c r="I76" s="63" t="s">
        <v>72</v>
      </c>
      <c r="J76" s="63" t="s">
        <v>72</v>
      </c>
      <c r="K76" s="63" t="s">
        <v>72</v>
      </c>
      <c r="L76" s="63" t="s">
        <v>72</v>
      </c>
      <c r="M76" s="63" t="s">
        <v>72</v>
      </c>
      <c r="N76" s="63" t="s">
        <v>72</v>
      </c>
      <c r="O76" s="63" t="s">
        <v>72</v>
      </c>
      <c r="P76" s="63" t="s">
        <v>72</v>
      </c>
      <c r="Q76" s="63" t="s">
        <v>72</v>
      </c>
      <c r="R76" s="63" t="s">
        <v>72</v>
      </c>
      <c r="S76" s="20" t="s">
        <v>227</v>
      </c>
    </row>
    <row r="77" spans="1:19" ht="23.25" customHeight="1">
      <c r="A77" s="16"/>
      <c r="B77" s="17" t="s">
        <v>85</v>
      </c>
      <c r="C77" s="89">
        <v>388600</v>
      </c>
      <c r="D77" s="63" t="s">
        <v>72</v>
      </c>
      <c r="E77" s="63" t="s">
        <v>72</v>
      </c>
      <c r="F77" s="63" t="s">
        <v>72</v>
      </c>
      <c r="G77" s="63" t="s">
        <v>72</v>
      </c>
      <c r="H77" s="63" t="s">
        <v>72</v>
      </c>
      <c r="I77" s="63" t="s">
        <v>72</v>
      </c>
      <c r="J77" s="63" t="s">
        <v>72</v>
      </c>
      <c r="K77" s="63" t="s">
        <v>72</v>
      </c>
      <c r="L77" s="63" t="s">
        <v>72</v>
      </c>
      <c r="M77" s="63" t="s">
        <v>72</v>
      </c>
      <c r="N77" s="63" t="s">
        <v>72</v>
      </c>
      <c r="O77" s="63" t="s">
        <v>72</v>
      </c>
      <c r="P77" s="63" t="s">
        <v>72</v>
      </c>
      <c r="Q77" s="63" t="s">
        <v>72</v>
      </c>
      <c r="R77" s="63" t="s">
        <v>72</v>
      </c>
      <c r="S77" s="20" t="s">
        <v>227</v>
      </c>
    </row>
    <row r="78" spans="1:19" ht="25.5">
      <c r="A78" s="16"/>
      <c r="B78" s="17" t="s">
        <v>86</v>
      </c>
      <c r="C78" s="89">
        <v>8849</v>
      </c>
      <c r="D78" s="63" t="s">
        <v>72</v>
      </c>
      <c r="E78" s="63" t="s">
        <v>72</v>
      </c>
      <c r="F78" s="63" t="s">
        <v>72</v>
      </c>
      <c r="G78" s="63" t="s">
        <v>72</v>
      </c>
      <c r="H78" s="63" t="s">
        <v>72</v>
      </c>
      <c r="I78" s="63" t="s">
        <v>72</v>
      </c>
      <c r="J78" s="63" t="s">
        <v>72</v>
      </c>
      <c r="K78" s="63" t="s">
        <v>72</v>
      </c>
      <c r="L78" s="63" t="s">
        <v>72</v>
      </c>
      <c r="M78" s="63" t="s">
        <v>72</v>
      </c>
      <c r="N78" s="63" t="s">
        <v>72</v>
      </c>
      <c r="O78" s="63" t="s">
        <v>72</v>
      </c>
      <c r="P78" s="63" t="s">
        <v>72</v>
      </c>
      <c r="Q78" s="63" t="s">
        <v>72</v>
      </c>
      <c r="R78" s="63" t="s">
        <v>72</v>
      </c>
      <c r="S78" s="20" t="s">
        <v>227</v>
      </c>
    </row>
    <row r="79" spans="1:19" ht="20.100000000000001" customHeight="1">
      <c r="A79" s="16"/>
      <c r="B79" s="50" t="s">
        <v>87</v>
      </c>
      <c r="C79" s="89">
        <v>1336</v>
      </c>
      <c r="D79" s="63" t="s">
        <v>72</v>
      </c>
      <c r="E79" s="63" t="s">
        <v>72</v>
      </c>
      <c r="F79" s="63" t="s">
        <v>72</v>
      </c>
      <c r="G79" s="63" t="s">
        <v>72</v>
      </c>
      <c r="H79" s="63" t="s">
        <v>72</v>
      </c>
      <c r="I79" s="63" t="s">
        <v>72</v>
      </c>
      <c r="J79" s="63" t="s">
        <v>72</v>
      </c>
      <c r="K79" s="63" t="s">
        <v>72</v>
      </c>
      <c r="L79" s="63" t="s">
        <v>72</v>
      </c>
      <c r="M79" s="63" t="s">
        <v>72</v>
      </c>
      <c r="N79" s="63" t="s">
        <v>72</v>
      </c>
      <c r="O79" s="63" t="s">
        <v>72</v>
      </c>
      <c r="P79" s="63" t="s">
        <v>72</v>
      </c>
      <c r="Q79" s="63" t="s">
        <v>72</v>
      </c>
      <c r="R79" s="63" t="s">
        <v>72</v>
      </c>
      <c r="S79" s="20" t="s">
        <v>227</v>
      </c>
    </row>
    <row r="80" spans="1:19" ht="25.5">
      <c r="A80" s="28"/>
      <c r="B80" s="11" t="s">
        <v>88</v>
      </c>
      <c r="C80" s="89">
        <v>14658</v>
      </c>
      <c r="D80" s="44" t="s">
        <v>72</v>
      </c>
      <c r="E80" s="44" t="s">
        <v>72</v>
      </c>
      <c r="F80" s="44" t="s">
        <v>72</v>
      </c>
      <c r="G80" s="44" t="s">
        <v>72</v>
      </c>
      <c r="H80" s="44" t="s">
        <v>72</v>
      </c>
      <c r="I80" s="44" t="s">
        <v>72</v>
      </c>
      <c r="J80" s="44" t="s">
        <v>72</v>
      </c>
      <c r="K80" s="44" t="s">
        <v>72</v>
      </c>
      <c r="L80" s="44" t="s">
        <v>72</v>
      </c>
      <c r="M80" s="44" t="s">
        <v>72</v>
      </c>
      <c r="N80" s="44" t="s">
        <v>72</v>
      </c>
      <c r="O80" s="44" t="s">
        <v>72</v>
      </c>
      <c r="P80" s="44" t="s">
        <v>72</v>
      </c>
      <c r="Q80" s="44" t="s">
        <v>72</v>
      </c>
      <c r="R80" s="44" t="s">
        <v>72</v>
      </c>
      <c r="S80" s="14" t="s">
        <v>227</v>
      </c>
    </row>
    <row r="81" spans="1:19">
      <c r="A81" s="28"/>
      <c r="B81" s="11" t="s">
        <v>89</v>
      </c>
      <c r="C81" s="89">
        <v>1083</v>
      </c>
      <c r="D81" s="44" t="s">
        <v>72</v>
      </c>
      <c r="E81" s="44" t="s">
        <v>72</v>
      </c>
      <c r="F81" s="44" t="s">
        <v>72</v>
      </c>
      <c r="G81" s="44" t="s">
        <v>72</v>
      </c>
      <c r="H81" s="44" t="s">
        <v>72</v>
      </c>
      <c r="I81" s="44" t="s">
        <v>72</v>
      </c>
      <c r="J81" s="44" t="s">
        <v>72</v>
      </c>
      <c r="K81" s="44" t="s">
        <v>72</v>
      </c>
      <c r="L81" s="44" t="s">
        <v>72</v>
      </c>
      <c r="M81" s="44" t="s">
        <v>72</v>
      </c>
      <c r="N81" s="44" t="s">
        <v>72</v>
      </c>
      <c r="O81" s="44" t="s">
        <v>72</v>
      </c>
      <c r="P81" s="44" t="s">
        <v>72</v>
      </c>
      <c r="Q81" s="44" t="s">
        <v>72</v>
      </c>
      <c r="R81" s="44" t="s">
        <v>72</v>
      </c>
      <c r="S81" s="14" t="s">
        <v>227</v>
      </c>
    </row>
    <row r="82" spans="1:19">
      <c r="A82" s="28"/>
      <c r="B82" s="11" t="s">
        <v>90</v>
      </c>
      <c r="C82" s="89">
        <v>5484</v>
      </c>
      <c r="D82" s="44" t="s">
        <v>72</v>
      </c>
      <c r="E82" s="44" t="s">
        <v>72</v>
      </c>
      <c r="F82" s="44" t="s">
        <v>72</v>
      </c>
      <c r="G82" s="44" t="s">
        <v>72</v>
      </c>
      <c r="H82" s="44" t="s">
        <v>72</v>
      </c>
      <c r="I82" s="44" t="s">
        <v>72</v>
      </c>
      <c r="J82" s="44" t="s">
        <v>72</v>
      </c>
      <c r="K82" s="44" t="s">
        <v>72</v>
      </c>
      <c r="L82" s="44" t="s">
        <v>72</v>
      </c>
      <c r="M82" s="44" t="s">
        <v>72</v>
      </c>
      <c r="N82" s="44" t="s">
        <v>72</v>
      </c>
      <c r="O82" s="44" t="s">
        <v>72</v>
      </c>
      <c r="P82" s="44" t="s">
        <v>72</v>
      </c>
      <c r="Q82" s="44" t="s">
        <v>72</v>
      </c>
      <c r="R82" s="44" t="s">
        <v>72</v>
      </c>
      <c r="S82" s="14" t="s">
        <v>227</v>
      </c>
    </row>
    <row r="83" spans="1:19" s="21" customFormat="1" ht="31.5" customHeight="1">
      <c r="A83" s="16"/>
      <c r="B83" s="17" t="s">
        <v>91</v>
      </c>
      <c r="C83" s="109"/>
      <c r="D83" s="63" t="s">
        <v>72</v>
      </c>
      <c r="E83" s="63" t="s">
        <v>72</v>
      </c>
      <c r="F83" s="63" t="s">
        <v>72</v>
      </c>
      <c r="G83" s="63" t="s">
        <v>72</v>
      </c>
      <c r="H83" s="63" t="s">
        <v>72</v>
      </c>
      <c r="I83" s="63" t="s">
        <v>72</v>
      </c>
      <c r="J83" s="63" t="s">
        <v>72</v>
      </c>
      <c r="K83" s="63" t="s">
        <v>72</v>
      </c>
      <c r="L83" s="63" t="s">
        <v>72</v>
      </c>
      <c r="M83" s="63" t="s">
        <v>72</v>
      </c>
      <c r="N83" s="63" t="s">
        <v>72</v>
      </c>
      <c r="O83" s="63" t="s">
        <v>72</v>
      </c>
      <c r="P83" s="63" t="s">
        <v>72</v>
      </c>
      <c r="Q83" s="45">
        <v>63647340</v>
      </c>
      <c r="R83" s="45">
        <v>66578470</v>
      </c>
      <c r="S83" s="46">
        <v>55360820</v>
      </c>
    </row>
    <row r="84" spans="1:19" s="21" customFormat="1" ht="26.25" thickBot="1">
      <c r="A84" s="70"/>
      <c r="B84" s="71" t="s">
        <v>92</v>
      </c>
      <c r="C84" s="396"/>
      <c r="D84" s="124" t="s">
        <v>72</v>
      </c>
      <c r="E84" s="124" t="s">
        <v>72</v>
      </c>
      <c r="F84" s="124" t="s">
        <v>72</v>
      </c>
      <c r="G84" s="124" t="s">
        <v>72</v>
      </c>
      <c r="H84" s="124" t="s">
        <v>72</v>
      </c>
      <c r="I84" s="124" t="s">
        <v>72</v>
      </c>
      <c r="J84" s="124" t="s">
        <v>72</v>
      </c>
      <c r="K84" s="124" t="s">
        <v>72</v>
      </c>
      <c r="L84" s="124" t="s">
        <v>72</v>
      </c>
      <c r="M84" s="124" t="s">
        <v>72</v>
      </c>
      <c r="N84" s="124" t="s">
        <v>72</v>
      </c>
      <c r="O84" s="124" t="s">
        <v>72</v>
      </c>
      <c r="P84" s="124" t="s">
        <v>72</v>
      </c>
      <c r="Q84" s="73">
        <v>6.6454129855648079</v>
      </c>
      <c r="R84" s="73">
        <v>6.7263705547524291</v>
      </c>
      <c r="S84" s="74">
        <v>6.86</v>
      </c>
    </row>
    <row r="85" spans="1:19" s="21" customFormat="1" ht="15.95" customHeight="1" thickTop="1">
      <c r="A85" s="28" t="s">
        <v>93</v>
      </c>
      <c r="B85" s="11" t="s">
        <v>94</v>
      </c>
      <c r="C85" s="397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127"/>
      <c r="R85" s="127"/>
      <c r="S85" s="46"/>
    </row>
    <row r="86" spans="1:19" s="21" customFormat="1" ht="15.95" customHeight="1">
      <c r="A86" s="16"/>
      <c r="B86" s="17" t="s">
        <v>95</v>
      </c>
      <c r="C86" s="115"/>
      <c r="D86" s="63" t="s">
        <v>72</v>
      </c>
      <c r="E86" s="63" t="s">
        <v>72</v>
      </c>
      <c r="F86" s="63" t="s">
        <v>72</v>
      </c>
      <c r="G86" s="63" t="s">
        <v>72</v>
      </c>
      <c r="H86" s="63" t="s">
        <v>72</v>
      </c>
      <c r="I86" s="63" t="s">
        <v>72</v>
      </c>
      <c r="J86" s="63" t="s">
        <v>72</v>
      </c>
      <c r="K86" s="63" t="s">
        <v>72</v>
      </c>
      <c r="L86" s="63" t="s">
        <v>72</v>
      </c>
      <c r="M86" s="63" t="s">
        <v>72</v>
      </c>
      <c r="N86" s="63" t="s">
        <v>72</v>
      </c>
      <c r="O86" s="63" t="s">
        <v>72</v>
      </c>
      <c r="P86" s="63" t="s">
        <v>72</v>
      </c>
      <c r="Q86" s="63">
        <v>2</v>
      </c>
      <c r="R86" s="63">
        <v>1</v>
      </c>
      <c r="S86" s="20">
        <v>0</v>
      </c>
    </row>
    <row r="87" spans="1:19" s="21" customFormat="1" ht="15.95" customHeight="1">
      <c r="A87" s="16"/>
      <c r="B87" s="17" t="s">
        <v>96</v>
      </c>
      <c r="C87" s="115"/>
      <c r="D87" s="63" t="s">
        <v>72</v>
      </c>
      <c r="E87" s="63" t="s">
        <v>72</v>
      </c>
      <c r="F87" s="63" t="s">
        <v>72</v>
      </c>
      <c r="G87" s="63" t="s">
        <v>72</v>
      </c>
      <c r="H87" s="63" t="s">
        <v>72</v>
      </c>
      <c r="I87" s="63" t="s">
        <v>72</v>
      </c>
      <c r="J87" s="63" t="s">
        <v>72</v>
      </c>
      <c r="K87" s="63" t="s">
        <v>72</v>
      </c>
      <c r="L87" s="63" t="s">
        <v>72</v>
      </c>
      <c r="M87" s="63" t="s">
        <v>72</v>
      </c>
      <c r="N87" s="63" t="s">
        <v>72</v>
      </c>
      <c r="O87" s="63" t="s">
        <v>72</v>
      </c>
      <c r="P87" s="63" t="s">
        <v>72</v>
      </c>
      <c r="Q87" s="63">
        <v>2</v>
      </c>
      <c r="R87" s="63">
        <v>2</v>
      </c>
      <c r="S87" s="20">
        <v>1</v>
      </c>
    </row>
    <row r="88" spans="1:19" s="21" customFormat="1" ht="15.95" customHeight="1">
      <c r="A88" s="16"/>
      <c r="B88" s="17" t="s">
        <v>97</v>
      </c>
      <c r="C88" s="115"/>
      <c r="D88" s="63" t="s">
        <v>72</v>
      </c>
      <c r="E88" s="63" t="s">
        <v>72</v>
      </c>
      <c r="F88" s="63" t="s">
        <v>72</v>
      </c>
      <c r="G88" s="63" t="s">
        <v>72</v>
      </c>
      <c r="H88" s="63" t="s">
        <v>72</v>
      </c>
      <c r="I88" s="63" t="s">
        <v>72</v>
      </c>
      <c r="J88" s="63" t="s">
        <v>72</v>
      </c>
      <c r="K88" s="63" t="s">
        <v>72</v>
      </c>
      <c r="L88" s="63" t="s">
        <v>72</v>
      </c>
      <c r="M88" s="63" t="s">
        <v>72</v>
      </c>
      <c r="N88" s="63" t="s">
        <v>72</v>
      </c>
      <c r="O88" s="63" t="s">
        <v>72</v>
      </c>
      <c r="P88" s="63" t="s">
        <v>72</v>
      </c>
      <c r="Q88" s="63">
        <v>0</v>
      </c>
      <c r="R88" s="63">
        <v>1</v>
      </c>
      <c r="S88" s="20">
        <v>2</v>
      </c>
    </row>
    <row r="89" spans="1:19" s="21" customFormat="1" ht="15.95" customHeight="1">
      <c r="A89" s="16"/>
      <c r="B89" s="17" t="s">
        <v>98</v>
      </c>
      <c r="C89" s="115"/>
      <c r="D89" s="63" t="s">
        <v>72</v>
      </c>
      <c r="E89" s="63" t="s">
        <v>72</v>
      </c>
      <c r="F89" s="63" t="s">
        <v>72</v>
      </c>
      <c r="G89" s="63" t="s">
        <v>72</v>
      </c>
      <c r="H89" s="63" t="s">
        <v>72</v>
      </c>
      <c r="I89" s="63" t="s">
        <v>72</v>
      </c>
      <c r="J89" s="63" t="s">
        <v>72</v>
      </c>
      <c r="K89" s="63" t="s">
        <v>72</v>
      </c>
      <c r="L89" s="63" t="s">
        <v>72</v>
      </c>
      <c r="M89" s="63" t="s">
        <v>72</v>
      </c>
      <c r="N89" s="63" t="s">
        <v>72</v>
      </c>
      <c r="O89" s="63" t="s">
        <v>72</v>
      </c>
      <c r="P89" s="63" t="s">
        <v>72</v>
      </c>
      <c r="Q89" s="63">
        <v>3</v>
      </c>
      <c r="R89" s="63">
        <v>5</v>
      </c>
      <c r="S89" s="20">
        <v>3</v>
      </c>
    </row>
    <row r="90" spans="1:19" s="21" customFormat="1" ht="15.95" customHeight="1">
      <c r="A90" s="16"/>
      <c r="B90" s="17" t="s">
        <v>99</v>
      </c>
      <c r="C90" s="115"/>
      <c r="D90" s="63" t="s">
        <v>72</v>
      </c>
      <c r="E90" s="63" t="s">
        <v>72</v>
      </c>
      <c r="F90" s="63" t="s">
        <v>72</v>
      </c>
      <c r="G90" s="63" t="s">
        <v>72</v>
      </c>
      <c r="H90" s="63" t="s">
        <v>72</v>
      </c>
      <c r="I90" s="63" t="s">
        <v>72</v>
      </c>
      <c r="J90" s="63" t="s">
        <v>72</v>
      </c>
      <c r="K90" s="63" t="s">
        <v>72</v>
      </c>
      <c r="L90" s="63" t="s">
        <v>72</v>
      </c>
      <c r="M90" s="63" t="s">
        <v>72</v>
      </c>
      <c r="N90" s="63" t="s">
        <v>72</v>
      </c>
      <c r="O90" s="63" t="s">
        <v>72</v>
      </c>
      <c r="P90" s="63" t="s">
        <v>72</v>
      </c>
      <c r="Q90" s="63">
        <v>7</v>
      </c>
      <c r="R90" s="63">
        <v>9</v>
      </c>
      <c r="S90" s="20">
        <v>6</v>
      </c>
    </row>
    <row r="91" spans="1:19" s="21" customFormat="1" ht="25.5">
      <c r="A91" s="39"/>
      <c r="B91" s="40" t="s">
        <v>100</v>
      </c>
      <c r="C91" s="118"/>
      <c r="D91" s="80" t="s">
        <v>72</v>
      </c>
      <c r="E91" s="80" t="s">
        <v>72</v>
      </c>
      <c r="F91" s="80" t="s">
        <v>72</v>
      </c>
      <c r="G91" s="80" t="s">
        <v>72</v>
      </c>
      <c r="H91" s="80" t="s">
        <v>72</v>
      </c>
      <c r="I91" s="80" t="s">
        <v>72</v>
      </c>
      <c r="J91" s="80" t="s">
        <v>72</v>
      </c>
      <c r="K91" s="80" t="s">
        <v>72</v>
      </c>
      <c r="L91" s="80" t="s">
        <v>72</v>
      </c>
      <c r="M91" s="80" t="s">
        <v>72</v>
      </c>
      <c r="N91" s="80" t="s">
        <v>72</v>
      </c>
      <c r="O91" s="80" t="s">
        <v>72</v>
      </c>
      <c r="P91" s="80" t="s">
        <v>72</v>
      </c>
      <c r="Q91" s="107">
        <v>9.9706805017930125E-2</v>
      </c>
      <c r="R91" s="107">
        <v>0.12771993799055101</v>
      </c>
      <c r="S91" s="108">
        <v>0.1</v>
      </c>
    </row>
    <row r="92" spans="1:19" s="21" customFormat="1" ht="18" customHeight="1">
      <c r="A92" s="119" t="s">
        <v>19</v>
      </c>
      <c r="B92" s="11" t="s">
        <v>101</v>
      </c>
      <c r="C92" s="112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1"/>
      <c r="R92" s="121"/>
      <c r="S92" s="134"/>
    </row>
    <row r="93" spans="1:19" s="21" customFormat="1" ht="15.95" customHeight="1">
      <c r="A93" s="119"/>
      <c r="B93" s="17" t="s">
        <v>95</v>
      </c>
      <c r="C93" s="115"/>
      <c r="D93" s="63" t="s">
        <v>72</v>
      </c>
      <c r="E93" s="63" t="s">
        <v>72</v>
      </c>
      <c r="F93" s="63" t="s">
        <v>72</v>
      </c>
      <c r="G93" s="63" t="s">
        <v>72</v>
      </c>
      <c r="H93" s="63" t="s">
        <v>72</v>
      </c>
      <c r="I93" s="63" t="s">
        <v>72</v>
      </c>
      <c r="J93" s="63" t="s">
        <v>72</v>
      </c>
      <c r="K93" s="63" t="s">
        <v>72</v>
      </c>
      <c r="L93" s="63" t="s">
        <v>72</v>
      </c>
      <c r="M93" s="63" t="s">
        <v>72</v>
      </c>
      <c r="N93" s="63" t="s">
        <v>72</v>
      </c>
      <c r="O93" s="63" t="s">
        <v>72</v>
      </c>
      <c r="P93" s="63" t="s">
        <v>72</v>
      </c>
      <c r="Q93" s="63">
        <v>0</v>
      </c>
      <c r="R93" s="63">
        <v>0</v>
      </c>
      <c r="S93" s="20">
        <v>2</v>
      </c>
    </row>
    <row r="94" spans="1:19" s="21" customFormat="1" ht="15.95" customHeight="1">
      <c r="A94" s="119"/>
      <c r="B94" s="17" t="s">
        <v>96</v>
      </c>
      <c r="C94" s="115"/>
      <c r="D94" s="63" t="s">
        <v>72</v>
      </c>
      <c r="E94" s="63" t="s">
        <v>72</v>
      </c>
      <c r="F94" s="63" t="s">
        <v>72</v>
      </c>
      <c r="G94" s="63" t="s">
        <v>72</v>
      </c>
      <c r="H94" s="63" t="s">
        <v>72</v>
      </c>
      <c r="I94" s="63" t="s">
        <v>72</v>
      </c>
      <c r="J94" s="63" t="s">
        <v>72</v>
      </c>
      <c r="K94" s="63" t="s">
        <v>72</v>
      </c>
      <c r="L94" s="63" t="s">
        <v>72</v>
      </c>
      <c r="M94" s="63" t="s">
        <v>72</v>
      </c>
      <c r="N94" s="63" t="s">
        <v>72</v>
      </c>
      <c r="O94" s="63" t="s">
        <v>72</v>
      </c>
      <c r="P94" s="63" t="s">
        <v>72</v>
      </c>
      <c r="Q94" s="63">
        <v>2</v>
      </c>
      <c r="R94" s="63">
        <v>0</v>
      </c>
      <c r="S94" s="20">
        <v>1</v>
      </c>
    </row>
    <row r="95" spans="1:19" s="21" customFormat="1" ht="15.95" customHeight="1">
      <c r="A95" s="119"/>
      <c r="B95" s="17" t="s">
        <v>97</v>
      </c>
      <c r="C95" s="115"/>
      <c r="D95" s="63" t="s">
        <v>72</v>
      </c>
      <c r="E95" s="63" t="s">
        <v>72</v>
      </c>
      <c r="F95" s="63" t="s">
        <v>72</v>
      </c>
      <c r="G95" s="63" t="s">
        <v>72</v>
      </c>
      <c r="H95" s="63" t="s">
        <v>72</v>
      </c>
      <c r="I95" s="63" t="s">
        <v>72</v>
      </c>
      <c r="J95" s="63" t="s">
        <v>72</v>
      </c>
      <c r="K95" s="63" t="s">
        <v>72</v>
      </c>
      <c r="L95" s="63" t="s">
        <v>72</v>
      </c>
      <c r="M95" s="63" t="s">
        <v>72</v>
      </c>
      <c r="N95" s="63" t="s">
        <v>72</v>
      </c>
      <c r="O95" s="63" t="s">
        <v>72</v>
      </c>
      <c r="P95" s="63" t="s">
        <v>72</v>
      </c>
      <c r="Q95" s="63">
        <v>0</v>
      </c>
      <c r="R95" s="63">
        <v>0</v>
      </c>
      <c r="S95" s="20">
        <v>1</v>
      </c>
    </row>
    <row r="96" spans="1:19" s="21" customFormat="1" ht="15.95" customHeight="1">
      <c r="A96" s="119"/>
      <c r="B96" s="17" t="s">
        <v>98</v>
      </c>
      <c r="C96" s="115"/>
      <c r="D96" s="63" t="s">
        <v>72</v>
      </c>
      <c r="E96" s="63" t="s">
        <v>72</v>
      </c>
      <c r="F96" s="63" t="s">
        <v>72</v>
      </c>
      <c r="G96" s="63" t="s">
        <v>72</v>
      </c>
      <c r="H96" s="63" t="s">
        <v>72</v>
      </c>
      <c r="I96" s="63" t="s">
        <v>72</v>
      </c>
      <c r="J96" s="63" t="s">
        <v>72</v>
      </c>
      <c r="K96" s="63" t="s">
        <v>72</v>
      </c>
      <c r="L96" s="63" t="s">
        <v>72</v>
      </c>
      <c r="M96" s="63" t="s">
        <v>72</v>
      </c>
      <c r="N96" s="63" t="s">
        <v>72</v>
      </c>
      <c r="O96" s="63" t="s">
        <v>72</v>
      </c>
      <c r="P96" s="63" t="s">
        <v>72</v>
      </c>
      <c r="Q96" s="63">
        <v>1</v>
      </c>
      <c r="R96" s="63">
        <v>1</v>
      </c>
      <c r="S96" s="20">
        <v>0</v>
      </c>
    </row>
    <row r="97" spans="1:19" s="21" customFormat="1" ht="15.95" customHeight="1">
      <c r="A97" s="119"/>
      <c r="B97" s="78" t="s">
        <v>99</v>
      </c>
      <c r="C97" s="122"/>
      <c r="D97" s="111" t="s">
        <v>72</v>
      </c>
      <c r="E97" s="111" t="s">
        <v>72</v>
      </c>
      <c r="F97" s="111" t="s">
        <v>72</v>
      </c>
      <c r="G97" s="111" t="s">
        <v>72</v>
      </c>
      <c r="H97" s="111" t="s">
        <v>72</v>
      </c>
      <c r="I97" s="111" t="s">
        <v>72</v>
      </c>
      <c r="J97" s="111" t="s">
        <v>72</v>
      </c>
      <c r="K97" s="111" t="s">
        <v>72</v>
      </c>
      <c r="L97" s="111" t="s">
        <v>72</v>
      </c>
      <c r="M97" s="111" t="s">
        <v>72</v>
      </c>
      <c r="N97" s="111" t="s">
        <v>72</v>
      </c>
      <c r="O97" s="111" t="s">
        <v>72</v>
      </c>
      <c r="P97" s="111" t="s">
        <v>72</v>
      </c>
      <c r="Q97" s="111">
        <v>3</v>
      </c>
      <c r="R97" s="111">
        <v>1</v>
      </c>
      <c r="S97" s="177">
        <v>4</v>
      </c>
    </row>
    <row r="98" spans="1:19" s="21" customFormat="1" ht="26.25" thickBot="1">
      <c r="A98" s="70"/>
      <c r="B98" s="71" t="s">
        <v>100</v>
      </c>
      <c r="C98" s="123"/>
      <c r="D98" s="124" t="s">
        <v>72</v>
      </c>
      <c r="E98" s="124" t="s">
        <v>72</v>
      </c>
      <c r="F98" s="124" t="s">
        <v>72</v>
      </c>
      <c r="G98" s="124" t="s">
        <v>72</v>
      </c>
      <c r="H98" s="124" t="s">
        <v>72</v>
      </c>
      <c r="I98" s="124" t="s">
        <v>72</v>
      </c>
      <c r="J98" s="124" t="s">
        <v>72</v>
      </c>
      <c r="K98" s="124" t="s">
        <v>72</v>
      </c>
      <c r="L98" s="124" t="s">
        <v>72</v>
      </c>
      <c r="M98" s="124" t="s">
        <v>72</v>
      </c>
      <c r="N98" s="124" t="s">
        <v>72</v>
      </c>
      <c r="O98" s="124" t="s">
        <v>72</v>
      </c>
      <c r="P98" s="124" t="s">
        <v>72</v>
      </c>
      <c r="Q98" s="73">
        <v>0.10721403960701052</v>
      </c>
      <c r="R98" s="73">
        <v>3.2281609264047099E-2</v>
      </c>
      <c r="S98" s="74">
        <v>0.16</v>
      </c>
    </row>
    <row r="99" spans="1:19" s="21" customFormat="1" ht="22.5" customHeight="1" thickTop="1">
      <c r="A99" s="28"/>
      <c r="B99" s="125" t="s">
        <v>102</v>
      </c>
      <c r="C99" s="126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27"/>
      <c r="R99" s="127"/>
      <c r="S99" s="14"/>
    </row>
    <row r="100" spans="1:19" s="21" customFormat="1" ht="18" customHeight="1">
      <c r="A100" s="16">
        <v>23</v>
      </c>
      <c r="B100" s="17" t="s">
        <v>103</v>
      </c>
      <c r="C100" s="128"/>
      <c r="D100" s="13">
        <v>114</v>
      </c>
      <c r="E100" s="13">
        <v>79</v>
      </c>
      <c r="F100" s="13">
        <v>89</v>
      </c>
      <c r="G100" s="13">
        <v>43</v>
      </c>
      <c r="H100" s="13">
        <v>59</v>
      </c>
      <c r="I100" s="13">
        <v>39</v>
      </c>
      <c r="J100" s="13">
        <v>38</v>
      </c>
      <c r="K100" s="13">
        <v>18</v>
      </c>
      <c r="L100" s="13">
        <v>4</v>
      </c>
      <c r="M100" s="13">
        <v>80</v>
      </c>
      <c r="N100" s="420" t="s">
        <v>239</v>
      </c>
      <c r="O100" s="13">
        <v>42</v>
      </c>
      <c r="P100" s="13">
        <v>39</v>
      </c>
      <c r="Q100" s="19">
        <v>644</v>
      </c>
      <c r="R100" s="19">
        <v>586</v>
      </c>
      <c r="S100" s="96">
        <v>804</v>
      </c>
    </row>
    <row r="101" spans="1:19" s="15" customFormat="1" ht="18" customHeight="1">
      <c r="A101" s="51">
        <v>24</v>
      </c>
      <c r="B101" s="40" t="s">
        <v>104</v>
      </c>
      <c r="C101" s="129"/>
      <c r="D101" s="42">
        <v>1.5209490722210659</v>
      </c>
      <c r="E101" s="42">
        <v>0.87995811844904603</v>
      </c>
      <c r="F101" s="42">
        <v>1.1356458826456721</v>
      </c>
      <c r="G101" s="42">
        <v>0.69561953817333544</v>
      </c>
      <c r="H101" s="42">
        <v>0.7676813940053191</v>
      </c>
      <c r="I101" s="42">
        <v>0.9473078240339281</v>
      </c>
      <c r="J101" s="42">
        <v>0.70559181513494451</v>
      </c>
      <c r="K101" s="42">
        <v>0.35261276262304714</v>
      </c>
      <c r="L101" s="42">
        <v>0.10406856036757015</v>
      </c>
      <c r="M101" s="42">
        <v>1.1596858411056445</v>
      </c>
      <c r="N101" s="421" t="s">
        <v>239</v>
      </c>
      <c r="O101" s="42">
        <v>1.0902634284112267</v>
      </c>
      <c r="P101" s="42">
        <v>1.37940791567927</v>
      </c>
      <c r="Q101" s="42">
        <v>0.91730260616495729</v>
      </c>
      <c r="R101" s="42">
        <v>0.83159870736069874</v>
      </c>
      <c r="S101" s="43">
        <v>1.4</v>
      </c>
    </row>
    <row r="102" spans="1:19" s="130" customFormat="1" ht="26.1" customHeight="1">
      <c r="A102" s="10">
        <v>25</v>
      </c>
      <c r="B102" s="11" t="s">
        <v>105</v>
      </c>
      <c r="C102" s="126"/>
      <c r="D102" s="13">
        <v>127791</v>
      </c>
      <c r="E102" s="13">
        <v>11493</v>
      </c>
      <c r="F102" s="13">
        <v>120733</v>
      </c>
      <c r="G102" s="13">
        <v>126558</v>
      </c>
      <c r="H102" s="13">
        <v>131765</v>
      </c>
      <c r="I102" s="13">
        <v>93423</v>
      </c>
      <c r="J102" s="13">
        <v>148951</v>
      </c>
      <c r="K102" s="13">
        <v>48729</v>
      </c>
      <c r="L102" s="13">
        <v>2007</v>
      </c>
      <c r="M102" s="13">
        <v>12789</v>
      </c>
      <c r="N102" s="420" t="s">
        <v>239</v>
      </c>
      <c r="O102" s="13">
        <v>12586</v>
      </c>
      <c r="P102" s="13">
        <v>14593</v>
      </c>
      <c r="Q102" s="44">
        <v>851418</v>
      </c>
      <c r="R102" s="44">
        <v>871672</v>
      </c>
      <c r="S102" s="14">
        <v>1121958</v>
      </c>
    </row>
    <row r="103" spans="1:19" s="33" customFormat="1" ht="26.1" customHeight="1">
      <c r="A103" s="65"/>
      <c r="B103" s="17" t="s">
        <v>106</v>
      </c>
      <c r="C103" s="131"/>
      <c r="D103" s="37">
        <v>4406.5862068965516</v>
      </c>
      <c r="E103" s="37">
        <v>396.31034482758622</v>
      </c>
      <c r="F103" s="37">
        <v>4163.2068965517237</v>
      </c>
      <c r="G103" s="37">
        <v>4364.0689655172409</v>
      </c>
      <c r="H103" s="37">
        <v>4543.6206896551721</v>
      </c>
      <c r="I103" s="37">
        <v>3221.4827586206898</v>
      </c>
      <c r="J103" s="37">
        <v>5136.2413793103451</v>
      </c>
      <c r="K103" s="37">
        <v>1680.3103448275863</v>
      </c>
      <c r="L103" s="37">
        <v>69.206896551724142</v>
      </c>
      <c r="M103" s="13">
        <v>441</v>
      </c>
      <c r="N103" s="420" t="s">
        <v>239</v>
      </c>
      <c r="O103" s="37">
        <v>434</v>
      </c>
      <c r="P103" s="37">
        <v>503.20689655172413</v>
      </c>
      <c r="Q103" s="37">
        <v>29359.241379310344</v>
      </c>
      <c r="R103" s="37">
        <v>28118.451612903227</v>
      </c>
      <c r="S103" s="38">
        <v>40070</v>
      </c>
    </row>
    <row r="104" spans="1:19" ht="26.1" customHeight="1">
      <c r="A104" s="16"/>
      <c r="B104" s="17" t="s">
        <v>107</v>
      </c>
      <c r="C104" s="115"/>
      <c r="D104" s="13">
        <v>62.06</v>
      </c>
      <c r="E104" s="13">
        <v>56.62</v>
      </c>
      <c r="F104" s="13">
        <v>62.14</v>
      </c>
      <c r="G104" s="13">
        <v>60.61</v>
      </c>
      <c r="H104" s="13">
        <v>70.989999999999995</v>
      </c>
      <c r="I104" s="13">
        <v>66.739999999999995</v>
      </c>
      <c r="J104" s="13">
        <v>65.02</v>
      </c>
      <c r="K104" s="13">
        <v>57.94</v>
      </c>
      <c r="L104" s="13">
        <v>69.209999999999994</v>
      </c>
      <c r="M104" s="13">
        <v>63</v>
      </c>
      <c r="N104" s="420" t="s">
        <v>239</v>
      </c>
      <c r="O104" s="13">
        <v>54.25</v>
      </c>
      <c r="P104" s="13">
        <v>55.89</v>
      </c>
      <c r="Q104" s="97">
        <v>63.41</v>
      </c>
      <c r="R104" s="97">
        <v>69.709999999999994</v>
      </c>
      <c r="S104" s="98">
        <v>63</v>
      </c>
    </row>
    <row r="105" spans="1:19" ht="21" customHeight="1">
      <c r="A105" s="16"/>
      <c r="B105" s="17" t="s">
        <v>108</v>
      </c>
      <c r="C105" s="115"/>
      <c r="D105" s="13">
        <v>102331</v>
      </c>
      <c r="E105" s="13">
        <v>267790</v>
      </c>
      <c r="F105" s="13">
        <v>134329</v>
      </c>
      <c r="G105" s="13">
        <v>69515</v>
      </c>
      <c r="H105" s="13">
        <v>105223</v>
      </c>
      <c r="I105" s="13">
        <v>34728</v>
      </c>
      <c r="J105" s="13">
        <v>38034</v>
      </c>
      <c r="K105" s="13">
        <v>98490</v>
      </c>
      <c r="L105" s="13">
        <v>104085</v>
      </c>
      <c r="M105" s="13">
        <v>196628</v>
      </c>
      <c r="N105" s="420" t="s">
        <v>239</v>
      </c>
      <c r="O105" s="13">
        <v>112673</v>
      </c>
      <c r="P105" s="13">
        <v>76468</v>
      </c>
      <c r="Q105" s="37">
        <v>1340294</v>
      </c>
      <c r="R105" s="37">
        <v>1329670</v>
      </c>
      <c r="S105" s="38">
        <v>684640</v>
      </c>
    </row>
    <row r="106" spans="1:19" ht="24.75" customHeight="1">
      <c r="A106" s="16"/>
      <c r="B106" s="17" t="s">
        <v>109</v>
      </c>
      <c r="C106" s="115"/>
      <c r="D106" s="37">
        <v>3528.655172413793</v>
      </c>
      <c r="E106" s="37">
        <v>9234.1379310344819</v>
      </c>
      <c r="F106" s="37">
        <v>4632.0344827586205</v>
      </c>
      <c r="G106" s="37">
        <v>2397.0689655172414</v>
      </c>
      <c r="H106" s="37">
        <v>3628.3793103448274</v>
      </c>
      <c r="I106" s="37">
        <v>1197.5172413793102</v>
      </c>
      <c r="J106" s="37">
        <v>1311.5172413793102</v>
      </c>
      <c r="K106" s="37">
        <v>3396.2068965517242</v>
      </c>
      <c r="L106" s="37">
        <v>3589.1379310344828</v>
      </c>
      <c r="M106" s="37">
        <v>6780.2758620689656</v>
      </c>
      <c r="N106" s="420" t="s">
        <v>239</v>
      </c>
      <c r="O106" s="37">
        <v>3885.2758620689656</v>
      </c>
      <c r="P106" s="37">
        <v>2636.8275862068967</v>
      </c>
      <c r="Q106" s="37">
        <v>46217.034482758623</v>
      </c>
      <c r="R106" s="37">
        <v>42892.580645161288</v>
      </c>
      <c r="S106" s="38">
        <v>24451</v>
      </c>
    </row>
    <row r="107" spans="1:19" s="15" customFormat="1" ht="30" customHeight="1">
      <c r="A107" s="132"/>
      <c r="B107" s="11" t="s">
        <v>110</v>
      </c>
      <c r="C107" s="110"/>
      <c r="D107" s="13">
        <v>64.290000000000006</v>
      </c>
      <c r="E107" s="13">
        <v>74.180000000000007</v>
      </c>
      <c r="F107" s="13">
        <v>64.88</v>
      </c>
      <c r="G107" s="13">
        <v>55.56</v>
      </c>
      <c r="H107" s="13">
        <v>68</v>
      </c>
      <c r="I107" s="13">
        <v>57.95</v>
      </c>
      <c r="J107" s="13">
        <v>60.38</v>
      </c>
      <c r="K107" s="100">
        <v>69</v>
      </c>
      <c r="L107" s="13">
        <v>73.45</v>
      </c>
      <c r="M107" s="105">
        <v>75.59</v>
      </c>
      <c r="N107" s="421" t="s">
        <v>239</v>
      </c>
      <c r="O107" s="13">
        <v>70.41</v>
      </c>
      <c r="P107" s="13">
        <v>76.05</v>
      </c>
      <c r="Q107" s="133">
        <v>69.47</v>
      </c>
      <c r="R107" s="133">
        <v>64.2</v>
      </c>
      <c r="S107" s="179">
        <v>72.84</v>
      </c>
    </row>
    <row r="108" spans="1:19" s="21" customFormat="1" ht="18" customHeight="1">
      <c r="A108" s="81">
        <v>26</v>
      </c>
      <c r="B108" s="82" t="s">
        <v>111</v>
      </c>
      <c r="C108" s="112"/>
      <c r="D108" s="94">
        <v>3.3102487655625201</v>
      </c>
      <c r="E108" s="94">
        <v>3.8875837466283825</v>
      </c>
      <c r="F108" s="94">
        <v>3.1327474675523677</v>
      </c>
      <c r="G108" s="94">
        <v>3.0518576462965599</v>
      </c>
      <c r="H108" s="94">
        <v>3.1728076499829241</v>
      </c>
      <c r="I108" s="94">
        <v>3.1057662459993791</v>
      </c>
      <c r="J108" s="94">
        <v>2.8380474115648768</v>
      </c>
      <c r="K108" s="94">
        <v>3.8656036446469249</v>
      </c>
      <c r="L108" s="94">
        <v>4.3348281016442449</v>
      </c>
      <c r="M108" s="100">
        <v>4.060286183438893</v>
      </c>
      <c r="N108" s="420" t="s">
        <v>239</v>
      </c>
      <c r="O108" s="94">
        <v>3.7988240902590178</v>
      </c>
      <c r="P108" s="94">
        <v>4.1068320427602272</v>
      </c>
      <c r="Q108" s="94">
        <v>3.1944884886154625</v>
      </c>
      <c r="R108" s="94">
        <v>3.1906588716856801</v>
      </c>
      <c r="S108" s="95">
        <v>3.37</v>
      </c>
    </row>
    <row r="109" spans="1:19" s="21" customFormat="1" ht="18" customHeight="1">
      <c r="A109" s="16"/>
      <c r="B109" s="11" t="s">
        <v>112</v>
      </c>
      <c r="C109" s="115"/>
      <c r="D109" s="97">
        <v>3.1907437628871018</v>
      </c>
      <c r="E109" s="97">
        <v>3.1856678740804361</v>
      </c>
      <c r="F109" s="97">
        <v>3.0184770228320019</v>
      </c>
      <c r="G109" s="97">
        <v>3.3362152053513632</v>
      </c>
      <c r="H109" s="97">
        <v>3.3308592227934959</v>
      </c>
      <c r="I109" s="97">
        <v>3.4998560239576135</v>
      </c>
      <c r="J109" s="97">
        <v>3.0453015722774359</v>
      </c>
      <c r="K109" s="97">
        <v>3.2704640064981216</v>
      </c>
      <c r="L109" s="97">
        <v>3.6091848008838929</v>
      </c>
      <c r="M109" s="100">
        <v>3.244273450373294</v>
      </c>
      <c r="N109" s="420" t="s">
        <v>239</v>
      </c>
      <c r="O109" s="97">
        <v>2.9946482298332344</v>
      </c>
      <c r="P109" s="97">
        <v>2.9136239995815245</v>
      </c>
      <c r="Q109" s="97">
        <v>3.208802695527996</v>
      </c>
      <c r="R109" s="97">
        <v>3.2079087292335693</v>
      </c>
      <c r="S109" s="98">
        <v>2.91</v>
      </c>
    </row>
    <row r="110" spans="1:19" s="21" customFormat="1" ht="30" customHeight="1">
      <c r="A110" s="28">
        <v>27</v>
      </c>
      <c r="B110" s="11" t="s">
        <v>113</v>
      </c>
      <c r="C110" s="135"/>
      <c r="D110" s="13">
        <v>1218</v>
      </c>
      <c r="E110" s="13">
        <v>405</v>
      </c>
      <c r="F110" s="13">
        <v>1191</v>
      </c>
      <c r="G110" s="13">
        <v>487</v>
      </c>
      <c r="H110" s="13">
        <v>625</v>
      </c>
      <c r="I110" s="13">
        <v>443</v>
      </c>
      <c r="J110" s="13">
        <v>575</v>
      </c>
      <c r="K110" s="13">
        <v>317</v>
      </c>
      <c r="L110" s="13">
        <v>130</v>
      </c>
      <c r="M110" s="13">
        <v>862</v>
      </c>
      <c r="N110" s="420" t="s">
        <v>239</v>
      </c>
      <c r="O110" s="13">
        <v>601</v>
      </c>
      <c r="P110" s="13">
        <v>618</v>
      </c>
      <c r="Q110" s="44">
        <v>7472</v>
      </c>
      <c r="R110" s="44">
        <v>7694</v>
      </c>
      <c r="S110" s="14">
        <v>9007</v>
      </c>
    </row>
    <row r="111" spans="1:19" s="21" customFormat="1" ht="19.5" customHeight="1">
      <c r="A111" s="16"/>
      <c r="B111" s="11" t="s">
        <v>178</v>
      </c>
      <c r="C111" s="115"/>
      <c r="D111" s="136">
        <v>42</v>
      </c>
      <c r="E111" s="136">
        <v>13.96551724137931</v>
      </c>
      <c r="F111" s="136">
        <v>41.068965517241381</v>
      </c>
      <c r="G111" s="136">
        <v>16.793103448275861</v>
      </c>
      <c r="H111" s="136">
        <v>21.551724137931036</v>
      </c>
      <c r="I111" s="136">
        <v>15.275862068965518</v>
      </c>
      <c r="J111" s="136">
        <v>19.827586206896552</v>
      </c>
      <c r="K111" s="136">
        <v>10.931034482758621</v>
      </c>
      <c r="L111" s="136">
        <v>4.4827586206896548</v>
      </c>
      <c r="M111" s="136">
        <v>29.724137931034484</v>
      </c>
      <c r="N111" s="420" t="s">
        <v>239</v>
      </c>
      <c r="O111" s="136">
        <v>20.724137931034484</v>
      </c>
      <c r="P111" s="136">
        <v>21.310344827586206</v>
      </c>
      <c r="Q111" s="136">
        <v>257.65517241379308</v>
      </c>
      <c r="R111" s="136">
        <v>248.19354838709677</v>
      </c>
      <c r="S111" s="316">
        <v>321.68</v>
      </c>
    </row>
    <row r="112" spans="1:19" s="21" customFormat="1" ht="20.100000000000001" customHeight="1">
      <c r="A112" s="16">
        <v>28</v>
      </c>
      <c r="B112" s="17" t="s">
        <v>115</v>
      </c>
      <c r="C112" s="109"/>
      <c r="D112" s="136">
        <v>615.37931034482756</v>
      </c>
      <c r="E112" s="136">
        <v>2216.7160493827159</v>
      </c>
      <c r="F112" s="136">
        <v>658.01427371956345</v>
      </c>
      <c r="G112" s="136">
        <v>1269.3100616016427</v>
      </c>
      <c r="H112" s="136">
        <v>1229.6768</v>
      </c>
      <c r="I112" s="136">
        <v>929.32957110609482</v>
      </c>
      <c r="J112" s="136">
        <v>936.61739130434785</v>
      </c>
      <c r="K112" s="136">
        <v>1610.3312302839117</v>
      </c>
      <c r="L112" s="136">
        <v>2956.6307692307691</v>
      </c>
      <c r="M112" s="136">
        <v>800.28074245939672</v>
      </c>
      <c r="N112" s="420" t="s">
        <v>239</v>
      </c>
      <c r="O112" s="136">
        <v>640.97836938435944</v>
      </c>
      <c r="P112" s="136">
        <v>457.49190938511327</v>
      </c>
      <c r="Q112" s="136">
        <v>939.58565310492509</v>
      </c>
      <c r="R112" s="136">
        <v>915.86534962308292</v>
      </c>
      <c r="S112" s="180">
        <v>639.08000000000004</v>
      </c>
    </row>
    <row r="113" spans="1:19" s="21" customFormat="1" ht="30.75" customHeight="1">
      <c r="A113" s="16">
        <v>29</v>
      </c>
      <c r="B113" s="17" t="s">
        <v>116</v>
      </c>
      <c r="C113" s="109"/>
      <c r="D113" s="13">
        <v>11</v>
      </c>
      <c r="E113" s="13">
        <v>11</v>
      </c>
      <c r="F113" s="13">
        <v>6</v>
      </c>
      <c r="G113" s="13">
        <v>12</v>
      </c>
      <c r="H113" s="13">
        <v>9</v>
      </c>
      <c r="I113" s="13">
        <v>3</v>
      </c>
      <c r="J113" s="13">
        <v>13</v>
      </c>
      <c r="K113" s="13">
        <v>13</v>
      </c>
      <c r="L113" s="13">
        <v>12</v>
      </c>
      <c r="M113" s="13">
        <v>15</v>
      </c>
      <c r="N113" s="420" t="s">
        <v>239</v>
      </c>
      <c r="O113" s="13">
        <v>10</v>
      </c>
      <c r="P113" s="13">
        <v>6</v>
      </c>
      <c r="Q113" s="137">
        <v>121</v>
      </c>
      <c r="R113" s="137">
        <v>202</v>
      </c>
      <c r="S113" s="181">
        <v>131</v>
      </c>
    </row>
    <row r="114" spans="1:19" s="21" customFormat="1" ht="15">
      <c r="A114" s="16">
        <v>30</v>
      </c>
      <c r="B114" s="17" t="s">
        <v>180</v>
      </c>
      <c r="C114" s="115"/>
      <c r="D114" s="36">
        <v>51516.454545454544</v>
      </c>
      <c r="E114" s="36">
        <v>50743</v>
      </c>
      <c r="F114" s="36">
        <v>51810.666666666664</v>
      </c>
      <c r="G114" s="36">
        <v>52166.833333333336</v>
      </c>
      <c r="H114" s="36">
        <v>68217.888888888891</v>
      </c>
      <c r="I114" s="36">
        <v>54961.333333333336</v>
      </c>
      <c r="J114" s="36">
        <v>63066.692307692305</v>
      </c>
      <c r="K114" s="36">
        <v>48007</v>
      </c>
      <c r="L114" s="36">
        <v>47686</v>
      </c>
      <c r="M114" s="36">
        <v>49955.333333333336</v>
      </c>
      <c r="N114" s="420" t="s">
        <v>239</v>
      </c>
      <c r="O114" s="36">
        <v>46771</v>
      </c>
      <c r="P114" s="36">
        <v>48945.166666666664</v>
      </c>
      <c r="Q114" s="37">
        <v>52623.685950413223</v>
      </c>
      <c r="R114" s="37">
        <v>51745.935643564357</v>
      </c>
      <c r="S114" s="116">
        <v>44106</v>
      </c>
    </row>
    <row r="115" spans="1:19" s="21" customFormat="1" ht="30" customHeight="1">
      <c r="A115" s="77">
        <v>31</v>
      </c>
      <c r="B115" s="78" t="s">
        <v>118</v>
      </c>
      <c r="C115" s="110"/>
      <c r="D115" s="13">
        <v>24</v>
      </c>
      <c r="E115" s="13">
        <v>14</v>
      </c>
      <c r="F115" s="13">
        <v>13</v>
      </c>
      <c r="G115" s="13">
        <v>15</v>
      </c>
      <c r="H115" s="13">
        <v>19</v>
      </c>
      <c r="I115" s="13">
        <v>26</v>
      </c>
      <c r="J115" s="13">
        <v>22</v>
      </c>
      <c r="K115" s="13">
        <v>15</v>
      </c>
      <c r="L115" s="13">
        <v>12</v>
      </c>
      <c r="M115" s="13">
        <v>14</v>
      </c>
      <c r="N115" s="420" t="s">
        <v>239</v>
      </c>
      <c r="O115" s="13">
        <v>10</v>
      </c>
      <c r="P115" s="13">
        <v>14</v>
      </c>
      <c r="Q115" s="137">
        <v>198</v>
      </c>
      <c r="R115" s="137">
        <v>234</v>
      </c>
      <c r="S115" s="181">
        <v>159</v>
      </c>
    </row>
    <row r="116" spans="1:19" s="15" customFormat="1" ht="18" customHeight="1" thickBot="1">
      <c r="A116" s="132">
        <v>32</v>
      </c>
      <c r="B116" s="78" t="s">
        <v>179</v>
      </c>
      <c r="C116" s="110"/>
      <c r="D116" s="413">
        <v>36086</v>
      </c>
      <c r="E116" s="413">
        <v>43183.642857142855</v>
      </c>
      <c r="F116" s="413">
        <v>38783.076923076922</v>
      </c>
      <c r="G116" s="413">
        <v>46614.466666666667</v>
      </c>
      <c r="H116" s="413">
        <v>34003.210526315786</v>
      </c>
      <c r="I116" s="413">
        <v>38648.384615384617</v>
      </c>
      <c r="J116" s="413">
        <v>40219.318181818184</v>
      </c>
      <c r="K116" s="413">
        <v>42040.26666666667</v>
      </c>
      <c r="L116" s="413">
        <v>40790.5</v>
      </c>
      <c r="M116" s="413">
        <v>31904.285714285714</v>
      </c>
      <c r="N116" s="420" t="s">
        <v>239</v>
      </c>
      <c r="O116" s="413">
        <v>35257.300000000003</v>
      </c>
      <c r="P116" s="413">
        <v>40347.785714285717</v>
      </c>
      <c r="Q116" s="413">
        <v>38858.42424242424</v>
      </c>
      <c r="R116" s="413">
        <v>37399.01282051282</v>
      </c>
      <c r="S116" s="117">
        <v>40371</v>
      </c>
    </row>
    <row r="117" spans="1:19" s="15" customFormat="1" ht="15" customHeight="1" thickTop="1">
      <c r="A117" s="680" t="s">
        <v>120</v>
      </c>
      <c r="B117" s="681"/>
      <c r="C117" s="415"/>
      <c r="D117" s="416"/>
      <c r="E117" s="416"/>
      <c r="F117" s="416"/>
      <c r="G117" s="416"/>
      <c r="H117" s="416"/>
      <c r="I117" s="416"/>
      <c r="J117" s="416" t="s">
        <v>121</v>
      </c>
      <c r="K117" s="416"/>
      <c r="L117" s="416"/>
      <c r="M117" s="416"/>
      <c r="N117" s="416"/>
      <c r="O117" s="416"/>
      <c r="P117" s="416"/>
      <c r="Q117" s="416"/>
      <c r="R117" s="416"/>
      <c r="S117" s="417"/>
    </row>
    <row r="118" spans="1:19" s="21" customFormat="1" ht="18" customHeight="1">
      <c r="A118" s="16">
        <v>33</v>
      </c>
      <c r="B118" s="66" t="s">
        <v>122</v>
      </c>
      <c r="C118" s="141" t="s">
        <v>123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97"/>
      <c r="R118" s="97"/>
      <c r="S118" s="38"/>
    </row>
    <row r="119" spans="1:19" s="21" customFormat="1" ht="18" customHeight="1">
      <c r="A119" s="16"/>
      <c r="B119" s="17" t="s">
        <v>124</v>
      </c>
      <c r="C119" s="142">
        <v>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3" t="s">
        <v>72</v>
      </c>
      <c r="N119" s="75" t="s">
        <v>72</v>
      </c>
      <c r="O119" s="63" t="s">
        <v>72</v>
      </c>
      <c r="P119" s="63" t="s">
        <v>72</v>
      </c>
      <c r="Q119" s="97">
        <v>0.4</v>
      </c>
      <c r="R119" s="97">
        <v>0.41905396402398404</v>
      </c>
      <c r="S119" s="98">
        <v>0.47</v>
      </c>
    </row>
    <row r="120" spans="1:19" s="21" customFormat="1" ht="18" customHeight="1">
      <c r="A120" s="16"/>
      <c r="B120" s="17" t="s">
        <v>125</v>
      </c>
      <c r="C120" s="142">
        <v>6.5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3" t="s">
        <v>72</v>
      </c>
      <c r="N120" s="63" t="s">
        <v>72</v>
      </c>
      <c r="O120" s="63" t="s">
        <v>72</v>
      </c>
      <c r="P120" s="63" t="s">
        <v>72</v>
      </c>
      <c r="Q120" s="97">
        <v>4.82</v>
      </c>
      <c r="R120" s="97">
        <v>4.9880079946702196</v>
      </c>
      <c r="S120" s="98">
        <v>4.96</v>
      </c>
    </row>
    <row r="121" spans="1:19" s="21" customFormat="1" ht="18" customHeight="1">
      <c r="A121" s="16"/>
      <c r="B121" s="17" t="s">
        <v>126</v>
      </c>
      <c r="C121" s="142">
        <v>1.5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97">
        <v>0.85</v>
      </c>
      <c r="R121" s="97">
        <v>0.89073950699533644</v>
      </c>
      <c r="S121" s="98">
        <v>0.99</v>
      </c>
    </row>
    <row r="122" spans="1:19" s="21" customFormat="1" ht="18" customHeight="1">
      <c r="A122" s="16"/>
      <c r="B122" s="66" t="s">
        <v>127</v>
      </c>
      <c r="C122" s="144">
        <v>9</v>
      </c>
      <c r="D122" s="63" t="s">
        <v>72</v>
      </c>
      <c r="E122" s="63" t="s">
        <v>72</v>
      </c>
      <c r="F122" s="63" t="s">
        <v>72</v>
      </c>
      <c r="G122" s="63" t="s">
        <v>72</v>
      </c>
      <c r="H122" s="63" t="s">
        <v>72</v>
      </c>
      <c r="I122" s="63" t="s">
        <v>72</v>
      </c>
      <c r="J122" s="63" t="s">
        <v>72</v>
      </c>
      <c r="K122" s="63" t="s">
        <v>72</v>
      </c>
      <c r="L122" s="63" t="s">
        <v>72</v>
      </c>
      <c r="M122" s="63" t="s">
        <v>72</v>
      </c>
      <c r="N122" s="63" t="s">
        <v>72</v>
      </c>
      <c r="O122" s="63" t="s">
        <v>72</v>
      </c>
      <c r="P122" s="63" t="s">
        <v>72</v>
      </c>
      <c r="Q122" s="97">
        <v>6.07</v>
      </c>
      <c r="R122" s="97">
        <v>6.29780146568954</v>
      </c>
      <c r="S122" s="98">
        <v>6.42</v>
      </c>
    </row>
    <row r="123" spans="1:19" s="21" customFormat="1" ht="32.25" customHeight="1">
      <c r="A123" s="16">
        <v>34</v>
      </c>
      <c r="B123" s="17" t="s">
        <v>128</v>
      </c>
      <c r="C123" s="109"/>
      <c r="D123" s="63" t="s">
        <v>72</v>
      </c>
      <c r="E123" s="63" t="s">
        <v>72</v>
      </c>
      <c r="F123" s="63" t="s">
        <v>72</v>
      </c>
      <c r="G123" s="63" t="s">
        <v>72</v>
      </c>
      <c r="H123" s="63" t="s">
        <v>72</v>
      </c>
      <c r="I123" s="63" t="s">
        <v>72</v>
      </c>
      <c r="J123" s="63" t="s">
        <v>72</v>
      </c>
      <c r="K123" s="63" t="s">
        <v>72</v>
      </c>
      <c r="L123" s="63" t="s">
        <v>72</v>
      </c>
      <c r="M123" s="63" t="s">
        <v>72</v>
      </c>
      <c r="N123" s="63" t="s">
        <v>72</v>
      </c>
      <c r="O123" s="63" t="s">
        <v>72</v>
      </c>
      <c r="P123" s="63" t="s">
        <v>72</v>
      </c>
      <c r="Q123" s="97">
        <v>1077.76</v>
      </c>
      <c r="R123" s="97">
        <v>1114.93</v>
      </c>
      <c r="S123" s="98">
        <v>1118.73</v>
      </c>
    </row>
    <row r="124" spans="1:19" s="21" customFormat="1" ht="25.5">
      <c r="A124" s="39">
        <v>35</v>
      </c>
      <c r="B124" s="40" t="s">
        <v>129</v>
      </c>
      <c r="C124" s="105">
        <v>39</v>
      </c>
      <c r="D124" s="105">
        <v>177</v>
      </c>
      <c r="E124" s="105">
        <v>260</v>
      </c>
      <c r="F124" s="105">
        <v>131</v>
      </c>
      <c r="G124" s="105">
        <v>43</v>
      </c>
      <c r="H124" s="105">
        <v>137</v>
      </c>
      <c r="I124" s="105">
        <v>48</v>
      </c>
      <c r="J124" s="413">
        <v>76</v>
      </c>
      <c r="K124" s="105">
        <v>54</v>
      </c>
      <c r="L124" s="105">
        <v>78</v>
      </c>
      <c r="M124" s="105">
        <v>146</v>
      </c>
      <c r="N124" s="105">
        <v>72</v>
      </c>
      <c r="O124" s="105">
        <v>19</v>
      </c>
      <c r="P124" s="105">
        <v>62</v>
      </c>
      <c r="Q124" s="418">
        <v>1342</v>
      </c>
      <c r="R124" s="418">
        <v>1622</v>
      </c>
      <c r="S124" s="60">
        <v>1321</v>
      </c>
    </row>
    <row r="125" spans="1:19" s="21" customFormat="1" ht="29.25" customHeight="1">
      <c r="A125" s="28">
        <v>36</v>
      </c>
      <c r="B125" s="11" t="s">
        <v>130</v>
      </c>
      <c r="C125" s="35"/>
      <c r="D125" s="44" t="s">
        <v>72</v>
      </c>
      <c r="E125" s="44" t="s">
        <v>72</v>
      </c>
      <c r="F125" s="44" t="s">
        <v>72</v>
      </c>
      <c r="G125" s="44" t="s">
        <v>72</v>
      </c>
      <c r="H125" s="44" t="s">
        <v>72</v>
      </c>
      <c r="I125" s="44" t="s">
        <v>72</v>
      </c>
      <c r="J125" s="44" t="s">
        <v>72</v>
      </c>
      <c r="K125" s="44" t="s">
        <v>72</v>
      </c>
      <c r="L125" s="44" t="s">
        <v>72</v>
      </c>
      <c r="M125" s="44" t="s">
        <v>72</v>
      </c>
      <c r="N125" s="44" t="s">
        <v>72</v>
      </c>
      <c r="O125" s="44" t="s">
        <v>72</v>
      </c>
      <c r="P125" s="44" t="s">
        <v>72</v>
      </c>
      <c r="Q125" s="44">
        <v>997</v>
      </c>
      <c r="R125" s="44">
        <v>957</v>
      </c>
      <c r="S125" s="14">
        <v>1590</v>
      </c>
    </row>
    <row r="126" spans="1:19" s="21" customFormat="1" ht="20.100000000000001" customHeight="1">
      <c r="A126" s="16">
        <v>37</v>
      </c>
      <c r="B126" s="17" t="s">
        <v>131</v>
      </c>
      <c r="C126" s="18"/>
      <c r="D126" s="63" t="s">
        <v>72</v>
      </c>
      <c r="E126" s="63" t="s">
        <v>72</v>
      </c>
      <c r="F126" s="63" t="s">
        <v>72</v>
      </c>
      <c r="G126" s="63" t="s">
        <v>72</v>
      </c>
      <c r="H126" s="63" t="s">
        <v>72</v>
      </c>
      <c r="I126" s="63" t="s">
        <v>72</v>
      </c>
      <c r="J126" s="63" t="s">
        <v>72</v>
      </c>
      <c r="K126" s="63" t="s">
        <v>72</v>
      </c>
      <c r="L126" s="63" t="s">
        <v>72</v>
      </c>
      <c r="M126" s="63" t="s">
        <v>72</v>
      </c>
      <c r="N126" s="63" t="s">
        <v>72</v>
      </c>
      <c r="O126" s="63" t="s">
        <v>72</v>
      </c>
      <c r="P126" s="63" t="s">
        <v>72</v>
      </c>
      <c r="Q126" s="63">
        <v>323</v>
      </c>
      <c r="R126" s="63">
        <v>321</v>
      </c>
      <c r="S126" s="20">
        <v>317</v>
      </c>
    </row>
    <row r="127" spans="1:19" s="15" customFormat="1" ht="20.100000000000001" customHeight="1">
      <c r="A127" s="51"/>
      <c r="B127" s="40" t="s">
        <v>132</v>
      </c>
      <c r="C127" s="53"/>
      <c r="D127" s="105" t="s">
        <v>72</v>
      </c>
      <c r="E127" s="105" t="s">
        <v>72</v>
      </c>
      <c r="F127" s="105" t="s">
        <v>72</v>
      </c>
      <c r="G127" s="105" t="s">
        <v>72</v>
      </c>
      <c r="H127" s="105" t="s">
        <v>72</v>
      </c>
      <c r="I127" s="105" t="s">
        <v>72</v>
      </c>
      <c r="J127" s="105" t="s">
        <v>72</v>
      </c>
      <c r="K127" s="105" t="s">
        <v>72</v>
      </c>
      <c r="L127" s="105" t="s">
        <v>72</v>
      </c>
      <c r="M127" s="105" t="s">
        <v>72</v>
      </c>
      <c r="N127" s="105" t="s">
        <v>72</v>
      </c>
      <c r="O127" s="105" t="s">
        <v>72</v>
      </c>
      <c r="P127" s="105" t="s">
        <v>72</v>
      </c>
      <c r="Q127" s="42">
        <v>21</v>
      </c>
      <c r="R127" s="42">
        <v>21.08</v>
      </c>
      <c r="S127" s="43">
        <v>21.63</v>
      </c>
    </row>
    <row r="128" spans="1:19" s="15" customFormat="1" ht="20.100000000000001" customHeight="1">
      <c r="A128" s="10">
        <v>38</v>
      </c>
      <c r="B128" s="11" t="s">
        <v>133</v>
      </c>
      <c r="C128" s="35"/>
      <c r="D128" s="13" t="s">
        <v>72</v>
      </c>
      <c r="E128" s="13" t="s">
        <v>72</v>
      </c>
      <c r="F128" s="13" t="s">
        <v>72</v>
      </c>
      <c r="G128" s="13" t="s">
        <v>72</v>
      </c>
      <c r="H128" s="13" t="s">
        <v>72</v>
      </c>
      <c r="I128" s="13" t="s">
        <v>72</v>
      </c>
      <c r="J128" s="13" t="s">
        <v>72</v>
      </c>
      <c r="K128" s="13" t="s">
        <v>72</v>
      </c>
      <c r="L128" s="13" t="s">
        <v>72</v>
      </c>
      <c r="M128" s="13" t="s">
        <v>72</v>
      </c>
      <c r="N128" s="13" t="s">
        <v>72</v>
      </c>
      <c r="O128" s="13" t="s">
        <v>72</v>
      </c>
      <c r="P128" s="13" t="s">
        <v>72</v>
      </c>
      <c r="Q128" s="36">
        <v>450263766</v>
      </c>
      <c r="R128" s="36">
        <v>485479310</v>
      </c>
      <c r="S128" s="49">
        <v>392747827</v>
      </c>
    </row>
    <row r="129" spans="1:19" s="21" customFormat="1" ht="20.100000000000001" customHeight="1">
      <c r="A129" s="16"/>
      <c r="B129" s="17" t="s">
        <v>134</v>
      </c>
      <c r="C129" s="18"/>
      <c r="D129" s="63" t="s">
        <v>72</v>
      </c>
      <c r="E129" s="63" t="s">
        <v>72</v>
      </c>
      <c r="F129" s="63" t="s">
        <v>72</v>
      </c>
      <c r="G129" s="63" t="s">
        <v>72</v>
      </c>
      <c r="H129" s="63" t="s">
        <v>72</v>
      </c>
      <c r="I129" s="63" t="s">
        <v>72</v>
      </c>
      <c r="J129" s="63" t="s">
        <v>72</v>
      </c>
      <c r="K129" s="63" t="s">
        <v>72</v>
      </c>
      <c r="L129" s="63" t="s">
        <v>72</v>
      </c>
      <c r="M129" s="63" t="s">
        <v>72</v>
      </c>
      <c r="N129" s="63" t="s">
        <v>72</v>
      </c>
      <c r="O129" s="63" t="s">
        <v>72</v>
      </c>
      <c r="P129" s="63" t="s">
        <v>72</v>
      </c>
      <c r="Q129" s="37">
        <v>15526336.758620691</v>
      </c>
      <c r="R129" s="37">
        <v>15660622.903225806</v>
      </c>
      <c r="S129" s="38">
        <v>14026708</v>
      </c>
    </row>
    <row r="130" spans="1:19" s="15" customFormat="1" ht="20.100000000000001" customHeight="1">
      <c r="A130" s="88"/>
      <c r="B130" s="17" t="s">
        <v>135</v>
      </c>
      <c r="C130" s="89"/>
      <c r="D130" s="19" t="s">
        <v>72</v>
      </c>
      <c r="E130" s="19" t="s">
        <v>72</v>
      </c>
      <c r="F130" s="19" t="s">
        <v>72</v>
      </c>
      <c r="G130" s="19" t="s">
        <v>72</v>
      </c>
      <c r="H130" s="19" t="s">
        <v>72</v>
      </c>
      <c r="I130" s="19" t="s">
        <v>72</v>
      </c>
      <c r="J130" s="19" t="s">
        <v>72</v>
      </c>
      <c r="K130" s="19" t="s">
        <v>72</v>
      </c>
      <c r="L130" s="19" t="s">
        <v>72</v>
      </c>
      <c r="M130" s="19" t="s">
        <v>72</v>
      </c>
      <c r="N130" s="19" t="s">
        <v>72</v>
      </c>
      <c r="O130" s="19" t="s">
        <v>72</v>
      </c>
      <c r="P130" s="19" t="s">
        <v>72</v>
      </c>
      <c r="Q130" s="90">
        <v>13.257591619891841</v>
      </c>
      <c r="R130" s="90">
        <v>13.019359419145017</v>
      </c>
      <c r="S130" s="91">
        <v>13.45</v>
      </c>
    </row>
    <row r="131" spans="1:19" s="21" customFormat="1" ht="20.100000000000001" customHeight="1">
      <c r="A131" s="39"/>
      <c r="B131" s="40" t="s">
        <v>136</v>
      </c>
      <c r="C131" s="41"/>
      <c r="D131" s="42">
        <v>45.76</v>
      </c>
      <c r="E131" s="42">
        <v>45.51</v>
      </c>
      <c r="F131" s="42">
        <v>49.84</v>
      </c>
      <c r="G131" s="42">
        <v>53.86</v>
      </c>
      <c r="H131" s="42">
        <v>49.72</v>
      </c>
      <c r="I131" s="42">
        <v>50.85</v>
      </c>
      <c r="J131" s="42">
        <v>49.73</v>
      </c>
      <c r="K131" s="42">
        <v>39.979999999999997</v>
      </c>
      <c r="L131" s="42">
        <v>45.92</v>
      </c>
      <c r="M131" s="42">
        <v>39.86</v>
      </c>
      <c r="N131" s="42">
        <v>53.04</v>
      </c>
      <c r="O131" s="42">
        <v>47.22</v>
      </c>
      <c r="P131" s="42">
        <v>43.52</v>
      </c>
      <c r="Q131" s="107">
        <v>47.011998891166762</v>
      </c>
      <c r="R131" s="107">
        <v>49.047593549769566</v>
      </c>
      <c r="S131" s="108">
        <v>48.65</v>
      </c>
    </row>
    <row r="132" spans="1:19" s="21" customFormat="1" ht="63.75">
      <c r="A132" s="28">
        <v>39</v>
      </c>
      <c r="B132" s="11" t="s">
        <v>137</v>
      </c>
      <c r="C132" s="35"/>
      <c r="D132" s="44" t="s">
        <v>72</v>
      </c>
      <c r="E132" s="44"/>
      <c r="F132" s="44" t="s">
        <v>72</v>
      </c>
      <c r="G132" s="44" t="s">
        <v>72</v>
      </c>
      <c r="H132" s="44" t="s">
        <v>72</v>
      </c>
      <c r="I132" s="44" t="s">
        <v>72</v>
      </c>
      <c r="J132" s="44" t="s">
        <v>72</v>
      </c>
      <c r="K132" s="44" t="s">
        <v>72</v>
      </c>
      <c r="L132" s="44" t="s">
        <v>72</v>
      </c>
      <c r="M132" s="44" t="s">
        <v>72</v>
      </c>
      <c r="N132" s="44" t="s">
        <v>121</v>
      </c>
      <c r="O132" s="44" t="s">
        <v>72</v>
      </c>
      <c r="P132" s="44" t="s">
        <v>72</v>
      </c>
      <c r="Q132" s="45">
        <v>1171128</v>
      </c>
      <c r="R132" s="45">
        <v>1202872</v>
      </c>
      <c r="S132" s="46">
        <v>1042562</v>
      </c>
    </row>
    <row r="133" spans="1:19" s="21" customFormat="1" ht="38.25">
      <c r="A133" s="16"/>
      <c r="B133" s="17" t="s">
        <v>138</v>
      </c>
      <c r="C133" s="89"/>
      <c r="D133" s="63" t="s">
        <v>72</v>
      </c>
      <c r="E133" s="63" t="s">
        <v>72</v>
      </c>
      <c r="F133" s="63" t="s">
        <v>72</v>
      </c>
      <c r="G133" s="63" t="s">
        <v>72</v>
      </c>
      <c r="H133" s="63" t="s">
        <v>72</v>
      </c>
      <c r="I133" s="63" t="s">
        <v>72</v>
      </c>
      <c r="J133" s="63" t="s">
        <v>72</v>
      </c>
      <c r="K133" s="63" t="s">
        <v>72</v>
      </c>
      <c r="L133" s="63" t="s">
        <v>72</v>
      </c>
      <c r="M133" s="63" t="s">
        <v>72</v>
      </c>
      <c r="N133" s="63" t="s">
        <v>72</v>
      </c>
      <c r="O133" s="63" t="s">
        <v>72</v>
      </c>
      <c r="P133" s="63" t="s">
        <v>72</v>
      </c>
      <c r="Q133" s="37">
        <v>278042.31034482748</v>
      </c>
      <c r="R133" s="37">
        <v>300905.45161290304</v>
      </c>
      <c r="S133" s="38">
        <v>247060</v>
      </c>
    </row>
    <row r="134" spans="1:19" s="21" customFormat="1" ht="25.5">
      <c r="A134" s="16"/>
      <c r="B134" s="17" t="s">
        <v>139</v>
      </c>
      <c r="C134" s="89"/>
      <c r="D134" s="63" t="s">
        <v>72</v>
      </c>
      <c r="E134" s="63" t="s">
        <v>72</v>
      </c>
      <c r="F134" s="63" t="s">
        <v>72</v>
      </c>
      <c r="G134" s="63" t="s">
        <v>72</v>
      </c>
      <c r="H134" s="63" t="s">
        <v>72</v>
      </c>
      <c r="I134" s="63" t="s">
        <v>72</v>
      </c>
      <c r="J134" s="63" t="s">
        <v>72</v>
      </c>
      <c r="K134" s="63" t="s">
        <v>72</v>
      </c>
      <c r="L134" s="63" t="s">
        <v>72</v>
      </c>
      <c r="M134" s="63" t="s">
        <v>72</v>
      </c>
      <c r="N134" s="63" t="s">
        <v>72</v>
      </c>
      <c r="O134" s="63" t="s">
        <v>72</v>
      </c>
      <c r="P134" s="63" t="s">
        <v>72</v>
      </c>
      <c r="Q134" s="97">
        <v>23.741410874373038</v>
      </c>
      <c r="R134" s="97">
        <v>25.015583670823084</v>
      </c>
      <c r="S134" s="98">
        <v>23.7</v>
      </c>
    </row>
    <row r="135" spans="1:19" s="15" customFormat="1" ht="25.5">
      <c r="A135" s="88"/>
      <c r="B135" s="17" t="s">
        <v>140</v>
      </c>
      <c r="C135" s="89"/>
      <c r="D135" s="63" t="s">
        <v>72</v>
      </c>
      <c r="E135" s="63" t="s">
        <v>72</v>
      </c>
      <c r="F135" s="63" t="s">
        <v>72</v>
      </c>
      <c r="G135" s="63" t="s">
        <v>72</v>
      </c>
      <c r="H135" s="63" t="s">
        <v>72</v>
      </c>
      <c r="I135" s="63" t="s">
        <v>72</v>
      </c>
      <c r="J135" s="63" t="s">
        <v>72</v>
      </c>
      <c r="K135" s="63" t="s">
        <v>72</v>
      </c>
      <c r="L135" s="63" t="s">
        <v>72</v>
      </c>
      <c r="M135" s="63" t="s">
        <v>72</v>
      </c>
      <c r="N135" s="63" t="s">
        <v>72</v>
      </c>
      <c r="O135" s="63" t="s">
        <v>72</v>
      </c>
      <c r="P135" s="63" t="s">
        <v>72</v>
      </c>
      <c r="Q135" s="90">
        <v>753.13697749196137</v>
      </c>
      <c r="R135" s="90">
        <v>801.38041305796139</v>
      </c>
      <c r="S135" s="91">
        <v>747.36300000000006</v>
      </c>
    </row>
    <row r="136" spans="1:19" s="15" customFormat="1" ht="26.25" thickBot="1">
      <c r="A136" s="101"/>
      <c r="B136" s="71" t="s">
        <v>141</v>
      </c>
      <c r="C136" s="102"/>
      <c r="D136" s="124" t="s">
        <v>72</v>
      </c>
      <c r="E136" s="124" t="s">
        <v>72</v>
      </c>
      <c r="F136" s="124" t="s">
        <v>72</v>
      </c>
      <c r="G136" s="124" t="s">
        <v>72</v>
      </c>
      <c r="H136" s="124" t="s">
        <v>72</v>
      </c>
      <c r="I136" s="124" t="s">
        <v>72</v>
      </c>
      <c r="J136" s="124" t="s">
        <v>72</v>
      </c>
      <c r="K136" s="124" t="s">
        <v>72</v>
      </c>
      <c r="L136" s="124" t="s">
        <v>72</v>
      </c>
      <c r="M136" s="124" t="s">
        <v>72</v>
      </c>
      <c r="N136" s="124" t="s">
        <v>72</v>
      </c>
      <c r="O136" s="124" t="s">
        <v>72</v>
      </c>
      <c r="P136" s="124" t="s">
        <v>72</v>
      </c>
      <c r="Q136" s="151">
        <v>9984.7824814280975</v>
      </c>
      <c r="R136" s="151">
        <v>10433.459629064495</v>
      </c>
      <c r="S136" s="152">
        <v>10054.99</v>
      </c>
    </row>
    <row r="137" spans="1:19" ht="13.5" thickTop="1">
      <c r="A137" s="153"/>
      <c r="C137" s="155"/>
      <c r="K137" s="31"/>
      <c r="L137" s="31"/>
      <c r="N137" s="31"/>
      <c r="S137" s="31"/>
    </row>
    <row r="138" spans="1:19" s="162" customFormat="1" ht="16.5">
      <c r="A138" s="682"/>
      <c r="B138" s="682"/>
      <c r="C138" s="682"/>
      <c r="D138" s="682"/>
      <c r="E138" s="682"/>
      <c r="F138" s="682"/>
      <c r="G138" s="682"/>
      <c r="H138" s="682"/>
      <c r="I138" s="682"/>
      <c r="J138" s="682"/>
      <c r="K138" s="682"/>
      <c r="L138" s="682"/>
      <c r="M138" s="682"/>
      <c r="N138" s="682"/>
      <c r="O138" s="682"/>
      <c r="P138" s="682"/>
      <c r="Q138" s="682"/>
      <c r="R138" s="682"/>
      <c r="S138" s="682"/>
    </row>
    <row r="139" spans="1:19" s="162" customFormat="1" ht="24" customHeight="1">
      <c r="A139" s="419"/>
      <c r="B139" s="679"/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  <c r="N139" s="679"/>
      <c r="O139" s="679"/>
      <c r="P139" s="679"/>
      <c r="Q139" s="679"/>
      <c r="R139" s="679"/>
      <c r="S139" s="679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L140" s="31"/>
      <c r="N140" s="155"/>
      <c r="O140" s="155"/>
      <c r="P140" s="155"/>
      <c r="Q140" s="158"/>
      <c r="R140" s="159"/>
      <c r="S140" s="31"/>
    </row>
    <row r="141" spans="1:19">
      <c r="A141" s="156"/>
      <c r="B141" s="157"/>
      <c r="C141" s="156"/>
      <c r="D141" s="156"/>
      <c r="E141" s="156"/>
      <c r="F141" s="156"/>
      <c r="G141" s="156"/>
      <c r="H141" s="156"/>
      <c r="I141" s="156"/>
      <c r="J141" s="156"/>
      <c r="K141" s="156"/>
      <c r="L141" s="31"/>
      <c r="N141" s="155"/>
      <c r="O141" s="155"/>
      <c r="P141" s="155"/>
      <c r="Q141" s="158"/>
      <c r="R141" s="159"/>
      <c r="S141" s="31"/>
    </row>
    <row r="142" spans="1:19" ht="25.5" customHeight="1">
      <c r="A142" s="156"/>
      <c r="B142" s="157"/>
      <c r="C142" s="156"/>
      <c r="D142" s="156"/>
      <c r="E142" s="156"/>
      <c r="F142" s="156"/>
      <c r="G142" s="156"/>
      <c r="H142" s="156"/>
      <c r="I142" s="156"/>
      <c r="J142" s="156"/>
      <c r="K142" s="156"/>
      <c r="L142" s="31"/>
      <c r="N142" s="155"/>
      <c r="O142" s="155"/>
      <c r="P142" s="155"/>
      <c r="Q142" s="155"/>
      <c r="R142" s="159"/>
      <c r="S142" s="31"/>
    </row>
    <row r="143" spans="1:19" s="161" customFormat="1" ht="16.5">
      <c r="A143" s="660" t="s">
        <v>238</v>
      </c>
      <c r="B143" s="660"/>
      <c r="C143" s="160"/>
      <c r="D143" s="160"/>
      <c r="E143" s="160"/>
      <c r="F143" s="160"/>
      <c r="G143" s="160"/>
      <c r="I143" s="162"/>
      <c r="J143" s="162"/>
      <c r="K143" s="162"/>
      <c r="L143" s="162"/>
      <c r="M143" s="661" t="s">
        <v>143</v>
      </c>
      <c r="N143" s="661"/>
      <c r="O143" s="661"/>
      <c r="P143" s="661"/>
      <c r="Q143" s="661"/>
      <c r="R143" s="661"/>
      <c r="S143" s="163"/>
    </row>
    <row r="144" spans="1:19" s="161" customFormat="1" ht="16.5">
      <c r="A144" s="660" t="s">
        <v>237</v>
      </c>
      <c r="B144" s="660"/>
      <c r="C144" s="160"/>
      <c r="D144" s="160"/>
      <c r="E144" s="160"/>
      <c r="F144" s="160"/>
      <c r="G144" s="160"/>
      <c r="I144" s="162"/>
      <c r="J144" s="162"/>
      <c r="K144" s="162"/>
      <c r="L144" s="162"/>
      <c r="M144" s="661" t="s">
        <v>144</v>
      </c>
      <c r="N144" s="661"/>
      <c r="O144" s="661"/>
      <c r="P144" s="661"/>
      <c r="Q144" s="661"/>
      <c r="R144" s="661"/>
    </row>
  </sheetData>
  <mergeCells count="10">
    <mergeCell ref="A1:S1"/>
    <mergeCell ref="A2:S2"/>
    <mergeCell ref="A3:S3"/>
    <mergeCell ref="A117:B117"/>
    <mergeCell ref="A138:S138"/>
    <mergeCell ref="B139:S139"/>
    <mergeCell ref="A143:B143"/>
    <mergeCell ref="M143:R143"/>
    <mergeCell ref="A144:B144"/>
    <mergeCell ref="M144:R144"/>
  </mergeCells>
  <pageMargins left="0.70866141732283472" right="0.19685039370078741" top="0.78740157480314965" bottom="0.47244094488188981" header="0.23622047244094491" footer="0.15748031496062992"/>
  <pageSetup paperSize="5" scale="78" orientation="landscape" verticalDpi="0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64"/>
  <sheetViews>
    <sheetView tabSelected="1" view="pageBreakPreview" zoomScaleNormal="100" zoomScaleSheetLayoutView="100" workbookViewId="0">
      <selection activeCell="E113" sqref="E113"/>
    </sheetView>
  </sheetViews>
  <sheetFormatPr defaultRowHeight="14.25"/>
  <cols>
    <col min="1" max="1" width="3.7109375" style="31" customWidth="1"/>
    <col min="2" max="2" width="27.28515625" style="154" customWidth="1"/>
    <col min="3" max="3" width="7.140625" style="31" customWidth="1"/>
    <col min="4" max="8" width="10.140625" style="31" customWidth="1"/>
    <col min="9" max="9" width="10.5703125" style="31" customWidth="1"/>
    <col min="10" max="10" width="10.140625" style="31" customWidth="1"/>
    <col min="11" max="12" width="10.140625" style="376" customWidth="1"/>
    <col min="13" max="13" width="10.140625" style="31" customWidth="1"/>
    <col min="14" max="14" width="10.140625" style="376" customWidth="1"/>
    <col min="15" max="15" width="10.140625" style="31" customWidth="1"/>
    <col min="16" max="16" width="11.140625" style="31" customWidth="1"/>
    <col min="17" max="17" width="11.5703125" style="31" customWidth="1"/>
    <col min="18" max="18" width="11.85546875" style="31" bestFit="1" customWidth="1"/>
    <col min="19" max="19" width="11.42578125" style="163" customWidth="1"/>
    <col min="20" max="246" width="9.140625" style="31"/>
    <col min="247" max="247" width="3.7109375" style="31" customWidth="1"/>
    <col min="248" max="248" width="30.42578125" style="31" customWidth="1"/>
    <col min="249" max="249" width="7.140625" style="31" customWidth="1"/>
    <col min="250" max="250" width="10.7109375" style="31" customWidth="1"/>
    <col min="251" max="251" width="10.42578125" style="31" customWidth="1"/>
    <col min="252" max="252" width="10.5703125" style="31" customWidth="1"/>
    <col min="253" max="253" width="10.42578125" style="31" customWidth="1"/>
    <col min="254" max="256" width="10.5703125" style="31" customWidth="1"/>
    <col min="257" max="259" width="10.42578125" style="31" customWidth="1"/>
    <col min="260" max="260" width="10.5703125" style="31" customWidth="1"/>
    <col min="261" max="261" width="10.28515625" style="31" customWidth="1"/>
    <col min="262" max="262" width="10.140625" style="31" customWidth="1"/>
    <col min="263" max="263" width="11.7109375" style="31" customWidth="1"/>
    <col min="264" max="264" width="12.42578125" style="31" customWidth="1"/>
    <col min="265" max="265" width="11.7109375" style="31" customWidth="1"/>
    <col min="266" max="266" width="13.140625" style="31" customWidth="1"/>
    <col min="267" max="502" width="9.140625" style="31"/>
    <col min="503" max="503" width="3.7109375" style="31" customWidth="1"/>
    <col min="504" max="504" width="30.42578125" style="31" customWidth="1"/>
    <col min="505" max="505" width="7.140625" style="31" customWidth="1"/>
    <col min="506" max="506" width="10.7109375" style="31" customWidth="1"/>
    <col min="507" max="507" width="10.42578125" style="31" customWidth="1"/>
    <col min="508" max="508" width="10.5703125" style="31" customWidth="1"/>
    <col min="509" max="509" width="10.42578125" style="31" customWidth="1"/>
    <col min="510" max="512" width="10.5703125" style="31" customWidth="1"/>
    <col min="513" max="515" width="10.42578125" style="31" customWidth="1"/>
    <col min="516" max="516" width="10.5703125" style="31" customWidth="1"/>
    <col min="517" max="517" width="10.28515625" style="31" customWidth="1"/>
    <col min="518" max="518" width="10.140625" style="31" customWidth="1"/>
    <col min="519" max="519" width="11.7109375" style="31" customWidth="1"/>
    <col min="520" max="520" width="12.42578125" style="31" customWidth="1"/>
    <col min="521" max="521" width="11.7109375" style="31" customWidth="1"/>
    <col min="522" max="522" width="13.140625" style="31" customWidth="1"/>
    <col min="523" max="758" width="9.140625" style="31"/>
    <col min="759" max="759" width="3.7109375" style="31" customWidth="1"/>
    <col min="760" max="760" width="30.42578125" style="31" customWidth="1"/>
    <col min="761" max="761" width="7.140625" style="31" customWidth="1"/>
    <col min="762" max="762" width="10.7109375" style="31" customWidth="1"/>
    <col min="763" max="763" width="10.42578125" style="31" customWidth="1"/>
    <col min="764" max="764" width="10.5703125" style="31" customWidth="1"/>
    <col min="765" max="765" width="10.42578125" style="31" customWidth="1"/>
    <col min="766" max="768" width="10.5703125" style="31" customWidth="1"/>
    <col min="769" max="771" width="10.42578125" style="31" customWidth="1"/>
    <col min="772" max="772" width="10.5703125" style="31" customWidth="1"/>
    <col min="773" max="773" width="10.28515625" style="31" customWidth="1"/>
    <col min="774" max="774" width="10.140625" style="31" customWidth="1"/>
    <col min="775" max="775" width="11.7109375" style="31" customWidth="1"/>
    <col min="776" max="776" width="12.42578125" style="31" customWidth="1"/>
    <col min="777" max="777" width="11.7109375" style="31" customWidth="1"/>
    <col min="778" max="778" width="13.140625" style="31" customWidth="1"/>
    <col min="779" max="1014" width="9.140625" style="31"/>
    <col min="1015" max="1015" width="3.7109375" style="31" customWidth="1"/>
    <col min="1016" max="1016" width="30.42578125" style="31" customWidth="1"/>
    <col min="1017" max="1017" width="7.140625" style="31" customWidth="1"/>
    <col min="1018" max="1018" width="10.7109375" style="31" customWidth="1"/>
    <col min="1019" max="1019" width="10.42578125" style="31" customWidth="1"/>
    <col min="1020" max="1020" width="10.5703125" style="31" customWidth="1"/>
    <col min="1021" max="1021" width="10.42578125" style="31" customWidth="1"/>
    <col min="1022" max="1024" width="10.5703125" style="31" customWidth="1"/>
    <col min="1025" max="1027" width="10.42578125" style="31" customWidth="1"/>
    <col min="1028" max="1028" width="10.5703125" style="31" customWidth="1"/>
    <col min="1029" max="1029" width="10.28515625" style="31" customWidth="1"/>
    <col min="1030" max="1030" width="10.140625" style="31" customWidth="1"/>
    <col min="1031" max="1031" width="11.7109375" style="31" customWidth="1"/>
    <col min="1032" max="1032" width="12.42578125" style="31" customWidth="1"/>
    <col min="1033" max="1033" width="11.7109375" style="31" customWidth="1"/>
    <col min="1034" max="1034" width="13.140625" style="31" customWidth="1"/>
    <col min="1035" max="1270" width="9.140625" style="31"/>
    <col min="1271" max="1271" width="3.7109375" style="31" customWidth="1"/>
    <col min="1272" max="1272" width="30.42578125" style="31" customWidth="1"/>
    <col min="1273" max="1273" width="7.140625" style="31" customWidth="1"/>
    <col min="1274" max="1274" width="10.7109375" style="31" customWidth="1"/>
    <col min="1275" max="1275" width="10.42578125" style="31" customWidth="1"/>
    <col min="1276" max="1276" width="10.5703125" style="31" customWidth="1"/>
    <col min="1277" max="1277" width="10.42578125" style="31" customWidth="1"/>
    <col min="1278" max="1280" width="10.5703125" style="31" customWidth="1"/>
    <col min="1281" max="1283" width="10.42578125" style="31" customWidth="1"/>
    <col min="1284" max="1284" width="10.5703125" style="31" customWidth="1"/>
    <col min="1285" max="1285" width="10.28515625" style="31" customWidth="1"/>
    <col min="1286" max="1286" width="10.140625" style="31" customWidth="1"/>
    <col min="1287" max="1287" width="11.7109375" style="31" customWidth="1"/>
    <col min="1288" max="1288" width="12.42578125" style="31" customWidth="1"/>
    <col min="1289" max="1289" width="11.7109375" style="31" customWidth="1"/>
    <col min="1290" max="1290" width="13.140625" style="31" customWidth="1"/>
    <col min="1291" max="1526" width="9.140625" style="31"/>
    <col min="1527" max="1527" width="3.7109375" style="31" customWidth="1"/>
    <col min="1528" max="1528" width="30.42578125" style="31" customWidth="1"/>
    <col min="1529" max="1529" width="7.140625" style="31" customWidth="1"/>
    <col min="1530" max="1530" width="10.7109375" style="31" customWidth="1"/>
    <col min="1531" max="1531" width="10.42578125" style="31" customWidth="1"/>
    <col min="1532" max="1532" width="10.5703125" style="31" customWidth="1"/>
    <col min="1533" max="1533" width="10.42578125" style="31" customWidth="1"/>
    <col min="1534" max="1536" width="10.5703125" style="31" customWidth="1"/>
    <col min="1537" max="1539" width="10.42578125" style="31" customWidth="1"/>
    <col min="1540" max="1540" width="10.5703125" style="31" customWidth="1"/>
    <col min="1541" max="1541" width="10.28515625" style="31" customWidth="1"/>
    <col min="1542" max="1542" width="10.140625" style="31" customWidth="1"/>
    <col min="1543" max="1543" width="11.7109375" style="31" customWidth="1"/>
    <col min="1544" max="1544" width="12.42578125" style="31" customWidth="1"/>
    <col min="1545" max="1545" width="11.7109375" style="31" customWidth="1"/>
    <col min="1546" max="1546" width="13.140625" style="31" customWidth="1"/>
    <col min="1547" max="1782" width="9.140625" style="31"/>
    <col min="1783" max="1783" width="3.7109375" style="31" customWidth="1"/>
    <col min="1784" max="1784" width="30.42578125" style="31" customWidth="1"/>
    <col min="1785" max="1785" width="7.140625" style="31" customWidth="1"/>
    <col min="1786" max="1786" width="10.7109375" style="31" customWidth="1"/>
    <col min="1787" max="1787" width="10.42578125" style="31" customWidth="1"/>
    <col min="1788" max="1788" width="10.5703125" style="31" customWidth="1"/>
    <col min="1789" max="1789" width="10.42578125" style="31" customWidth="1"/>
    <col min="1790" max="1792" width="10.5703125" style="31" customWidth="1"/>
    <col min="1793" max="1795" width="10.42578125" style="31" customWidth="1"/>
    <col min="1796" max="1796" width="10.5703125" style="31" customWidth="1"/>
    <col min="1797" max="1797" width="10.28515625" style="31" customWidth="1"/>
    <col min="1798" max="1798" width="10.140625" style="31" customWidth="1"/>
    <col min="1799" max="1799" width="11.7109375" style="31" customWidth="1"/>
    <col min="1800" max="1800" width="12.42578125" style="31" customWidth="1"/>
    <col min="1801" max="1801" width="11.7109375" style="31" customWidth="1"/>
    <col min="1802" max="1802" width="13.140625" style="31" customWidth="1"/>
    <col min="1803" max="2038" width="9.140625" style="31"/>
    <col min="2039" max="2039" width="3.7109375" style="31" customWidth="1"/>
    <col min="2040" max="2040" width="30.42578125" style="31" customWidth="1"/>
    <col min="2041" max="2041" width="7.140625" style="31" customWidth="1"/>
    <col min="2042" max="2042" width="10.7109375" style="31" customWidth="1"/>
    <col min="2043" max="2043" width="10.42578125" style="31" customWidth="1"/>
    <col min="2044" max="2044" width="10.5703125" style="31" customWidth="1"/>
    <col min="2045" max="2045" width="10.42578125" style="31" customWidth="1"/>
    <col min="2046" max="2048" width="10.5703125" style="31" customWidth="1"/>
    <col min="2049" max="2051" width="10.42578125" style="31" customWidth="1"/>
    <col min="2052" max="2052" width="10.5703125" style="31" customWidth="1"/>
    <col min="2053" max="2053" width="10.28515625" style="31" customWidth="1"/>
    <col min="2054" max="2054" width="10.140625" style="31" customWidth="1"/>
    <col min="2055" max="2055" width="11.7109375" style="31" customWidth="1"/>
    <col min="2056" max="2056" width="12.42578125" style="31" customWidth="1"/>
    <col min="2057" max="2057" width="11.7109375" style="31" customWidth="1"/>
    <col min="2058" max="2058" width="13.140625" style="31" customWidth="1"/>
    <col min="2059" max="2294" width="9.140625" style="31"/>
    <col min="2295" max="2295" width="3.7109375" style="31" customWidth="1"/>
    <col min="2296" max="2296" width="30.42578125" style="31" customWidth="1"/>
    <col min="2297" max="2297" width="7.140625" style="31" customWidth="1"/>
    <col min="2298" max="2298" width="10.7109375" style="31" customWidth="1"/>
    <col min="2299" max="2299" width="10.42578125" style="31" customWidth="1"/>
    <col min="2300" max="2300" width="10.5703125" style="31" customWidth="1"/>
    <col min="2301" max="2301" width="10.42578125" style="31" customWidth="1"/>
    <col min="2302" max="2304" width="10.5703125" style="31" customWidth="1"/>
    <col min="2305" max="2307" width="10.42578125" style="31" customWidth="1"/>
    <col min="2308" max="2308" width="10.5703125" style="31" customWidth="1"/>
    <col min="2309" max="2309" width="10.28515625" style="31" customWidth="1"/>
    <col min="2310" max="2310" width="10.140625" style="31" customWidth="1"/>
    <col min="2311" max="2311" width="11.7109375" style="31" customWidth="1"/>
    <col min="2312" max="2312" width="12.42578125" style="31" customWidth="1"/>
    <col min="2313" max="2313" width="11.7109375" style="31" customWidth="1"/>
    <col min="2314" max="2314" width="13.140625" style="31" customWidth="1"/>
    <col min="2315" max="2550" width="9.140625" style="31"/>
    <col min="2551" max="2551" width="3.7109375" style="31" customWidth="1"/>
    <col min="2552" max="2552" width="30.42578125" style="31" customWidth="1"/>
    <col min="2553" max="2553" width="7.140625" style="31" customWidth="1"/>
    <col min="2554" max="2554" width="10.7109375" style="31" customWidth="1"/>
    <col min="2555" max="2555" width="10.42578125" style="31" customWidth="1"/>
    <col min="2556" max="2556" width="10.5703125" style="31" customWidth="1"/>
    <col min="2557" max="2557" width="10.42578125" style="31" customWidth="1"/>
    <col min="2558" max="2560" width="10.5703125" style="31" customWidth="1"/>
    <col min="2561" max="2563" width="10.42578125" style="31" customWidth="1"/>
    <col min="2564" max="2564" width="10.5703125" style="31" customWidth="1"/>
    <col min="2565" max="2565" width="10.28515625" style="31" customWidth="1"/>
    <col min="2566" max="2566" width="10.140625" style="31" customWidth="1"/>
    <col min="2567" max="2567" width="11.7109375" style="31" customWidth="1"/>
    <col min="2568" max="2568" width="12.42578125" style="31" customWidth="1"/>
    <col min="2569" max="2569" width="11.7109375" style="31" customWidth="1"/>
    <col min="2570" max="2570" width="13.140625" style="31" customWidth="1"/>
    <col min="2571" max="2806" width="9.140625" style="31"/>
    <col min="2807" max="2807" width="3.7109375" style="31" customWidth="1"/>
    <col min="2808" max="2808" width="30.42578125" style="31" customWidth="1"/>
    <col min="2809" max="2809" width="7.140625" style="31" customWidth="1"/>
    <col min="2810" max="2810" width="10.7109375" style="31" customWidth="1"/>
    <col min="2811" max="2811" width="10.42578125" style="31" customWidth="1"/>
    <col min="2812" max="2812" width="10.5703125" style="31" customWidth="1"/>
    <col min="2813" max="2813" width="10.42578125" style="31" customWidth="1"/>
    <col min="2814" max="2816" width="10.5703125" style="31" customWidth="1"/>
    <col min="2817" max="2819" width="10.42578125" style="31" customWidth="1"/>
    <col min="2820" max="2820" width="10.5703125" style="31" customWidth="1"/>
    <col min="2821" max="2821" width="10.28515625" style="31" customWidth="1"/>
    <col min="2822" max="2822" width="10.140625" style="31" customWidth="1"/>
    <col min="2823" max="2823" width="11.7109375" style="31" customWidth="1"/>
    <col min="2824" max="2824" width="12.42578125" style="31" customWidth="1"/>
    <col min="2825" max="2825" width="11.7109375" style="31" customWidth="1"/>
    <col min="2826" max="2826" width="13.140625" style="31" customWidth="1"/>
    <col min="2827" max="3062" width="9.140625" style="31"/>
    <col min="3063" max="3063" width="3.7109375" style="31" customWidth="1"/>
    <col min="3064" max="3064" width="30.42578125" style="31" customWidth="1"/>
    <col min="3065" max="3065" width="7.140625" style="31" customWidth="1"/>
    <col min="3066" max="3066" width="10.7109375" style="31" customWidth="1"/>
    <col min="3067" max="3067" width="10.42578125" style="31" customWidth="1"/>
    <col min="3068" max="3068" width="10.5703125" style="31" customWidth="1"/>
    <col min="3069" max="3069" width="10.42578125" style="31" customWidth="1"/>
    <col min="3070" max="3072" width="10.5703125" style="31" customWidth="1"/>
    <col min="3073" max="3075" width="10.42578125" style="31" customWidth="1"/>
    <col min="3076" max="3076" width="10.5703125" style="31" customWidth="1"/>
    <col min="3077" max="3077" width="10.28515625" style="31" customWidth="1"/>
    <col min="3078" max="3078" width="10.140625" style="31" customWidth="1"/>
    <col min="3079" max="3079" width="11.7109375" style="31" customWidth="1"/>
    <col min="3080" max="3080" width="12.42578125" style="31" customWidth="1"/>
    <col min="3081" max="3081" width="11.7109375" style="31" customWidth="1"/>
    <col min="3082" max="3082" width="13.140625" style="31" customWidth="1"/>
    <col min="3083" max="3318" width="9.140625" style="31"/>
    <col min="3319" max="3319" width="3.7109375" style="31" customWidth="1"/>
    <col min="3320" max="3320" width="30.42578125" style="31" customWidth="1"/>
    <col min="3321" max="3321" width="7.140625" style="31" customWidth="1"/>
    <col min="3322" max="3322" width="10.7109375" style="31" customWidth="1"/>
    <col min="3323" max="3323" width="10.42578125" style="31" customWidth="1"/>
    <col min="3324" max="3324" width="10.5703125" style="31" customWidth="1"/>
    <col min="3325" max="3325" width="10.42578125" style="31" customWidth="1"/>
    <col min="3326" max="3328" width="10.5703125" style="31" customWidth="1"/>
    <col min="3329" max="3331" width="10.42578125" style="31" customWidth="1"/>
    <col min="3332" max="3332" width="10.5703125" style="31" customWidth="1"/>
    <col min="3333" max="3333" width="10.28515625" style="31" customWidth="1"/>
    <col min="3334" max="3334" width="10.140625" style="31" customWidth="1"/>
    <col min="3335" max="3335" width="11.7109375" style="31" customWidth="1"/>
    <col min="3336" max="3336" width="12.42578125" style="31" customWidth="1"/>
    <col min="3337" max="3337" width="11.7109375" style="31" customWidth="1"/>
    <col min="3338" max="3338" width="13.140625" style="31" customWidth="1"/>
    <col min="3339" max="3574" width="9.140625" style="31"/>
    <col min="3575" max="3575" width="3.7109375" style="31" customWidth="1"/>
    <col min="3576" max="3576" width="30.42578125" style="31" customWidth="1"/>
    <col min="3577" max="3577" width="7.140625" style="31" customWidth="1"/>
    <col min="3578" max="3578" width="10.7109375" style="31" customWidth="1"/>
    <col min="3579" max="3579" width="10.42578125" style="31" customWidth="1"/>
    <col min="3580" max="3580" width="10.5703125" style="31" customWidth="1"/>
    <col min="3581" max="3581" width="10.42578125" style="31" customWidth="1"/>
    <col min="3582" max="3584" width="10.5703125" style="31" customWidth="1"/>
    <col min="3585" max="3587" width="10.42578125" style="31" customWidth="1"/>
    <col min="3588" max="3588" width="10.5703125" style="31" customWidth="1"/>
    <col min="3589" max="3589" width="10.28515625" style="31" customWidth="1"/>
    <col min="3590" max="3590" width="10.140625" style="31" customWidth="1"/>
    <col min="3591" max="3591" width="11.7109375" style="31" customWidth="1"/>
    <col min="3592" max="3592" width="12.42578125" style="31" customWidth="1"/>
    <col min="3593" max="3593" width="11.7109375" style="31" customWidth="1"/>
    <col min="3594" max="3594" width="13.140625" style="31" customWidth="1"/>
    <col min="3595" max="3830" width="9.140625" style="31"/>
    <col min="3831" max="3831" width="3.7109375" style="31" customWidth="1"/>
    <col min="3832" max="3832" width="30.42578125" style="31" customWidth="1"/>
    <col min="3833" max="3833" width="7.140625" style="31" customWidth="1"/>
    <col min="3834" max="3834" width="10.7109375" style="31" customWidth="1"/>
    <col min="3835" max="3835" width="10.42578125" style="31" customWidth="1"/>
    <col min="3836" max="3836" width="10.5703125" style="31" customWidth="1"/>
    <col min="3837" max="3837" width="10.42578125" style="31" customWidth="1"/>
    <col min="3838" max="3840" width="10.5703125" style="31" customWidth="1"/>
    <col min="3841" max="3843" width="10.42578125" style="31" customWidth="1"/>
    <col min="3844" max="3844" width="10.5703125" style="31" customWidth="1"/>
    <col min="3845" max="3845" width="10.28515625" style="31" customWidth="1"/>
    <col min="3846" max="3846" width="10.140625" style="31" customWidth="1"/>
    <col min="3847" max="3847" width="11.7109375" style="31" customWidth="1"/>
    <col min="3848" max="3848" width="12.42578125" style="31" customWidth="1"/>
    <col min="3849" max="3849" width="11.7109375" style="31" customWidth="1"/>
    <col min="3850" max="3850" width="13.140625" style="31" customWidth="1"/>
    <col min="3851" max="4086" width="9.140625" style="31"/>
    <col min="4087" max="4087" width="3.7109375" style="31" customWidth="1"/>
    <col min="4088" max="4088" width="30.42578125" style="31" customWidth="1"/>
    <col min="4089" max="4089" width="7.140625" style="31" customWidth="1"/>
    <col min="4090" max="4090" width="10.7109375" style="31" customWidth="1"/>
    <col min="4091" max="4091" width="10.42578125" style="31" customWidth="1"/>
    <col min="4092" max="4092" width="10.5703125" style="31" customWidth="1"/>
    <col min="4093" max="4093" width="10.42578125" style="31" customWidth="1"/>
    <col min="4094" max="4096" width="10.5703125" style="31" customWidth="1"/>
    <col min="4097" max="4099" width="10.42578125" style="31" customWidth="1"/>
    <col min="4100" max="4100" width="10.5703125" style="31" customWidth="1"/>
    <col min="4101" max="4101" width="10.28515625" style="31" customWidth="1"/>
    <col min="4102" max="4102" width="10.140625" style="31" customWidth="1"/>
    <col min="4103" max="4103" width="11.7109375" style="31" customWidth="1"/>
    <col min="4104" max="4104" width="12.42578125" style="31" customWidth="1"/>
    <col min="4105" max="4105" width="11.7109375" style="31" customWidth="1"/>
    <col min="4106" max="4106" width="13.140625" style="31" customWidth="1"/>
    <col min="4107" max="4342" width="9.140625" style="31"/>
    <col min="4343" max="4343" width="3.7109375" style="31" customWidth="1"/>
    <col min="4344" max="4344" width="30.42578125" style="31" customWidth="1"/>
    <col min="4345" max="4345" width="7.140625" style="31" customWidth="1"/>
    <col min="4346" max="4346" width="10.7109375" style="31" customWidth="1"/>
    <col min="4347" max="4347" width="10.42578125" style="31" customWidth="1"/>
    <col min="4348" max="4348" width="10.5703125" style="31" customWidth="1"/>
    <col min="4349" max="4349" width="10.42578125" style="31" customWidth="1"/>
    <col min="4350" max="4352" width="10.5703125" style="31" customWidth="1"/>
    <col min="4353" max="4355" width="10.42578125" style="31" customWidth="1"/>
    <col min="4356" max="4356" width="10.5703125" style="31" customWidth="1"/>
    <col min="4357" max="4357" width="10.28515625" style="31" customWidth="1"/>
    <col min="4358" max="4358" width="10.140625" style="31" customWidth="1"/>
    <col min="4359" max="4359" width="11.7109375" style="31" customWidth="1"/>
    <col min="4360" max="4360" width="12.42578125" style="31" customWidth="1"/>
    <col min="4361" max="4361" width="11.7109375" style="31" customWidth="1"/>
    <col min="4362" max="4362" width="13.140625" style="31" customWidth="1"/>
    <col min="4363" max="4598" width="9.140625" style="31"/>
    <col min="4599" max="4599" width="3.7109375" style="31" customWidth="1"/>
    <col min="4600" max="4600" width="30.42578125" style="31" customWidth="1"/>
    <col min="4601" max="4601" width="7.140625" style="31" customWidth="1"/>
    <col min="4602" max="4602" width="10.7109375" style="31" customWidth="1"/>
    <col min="4603" max="4603" width="10.42578125" style="31" customWidth="1"/>
    <col min="4604" max="4604" width="10.5703125" style="31" customWidth="1"/>
    <col min="4605" max="4605" width="10.42578125" style="31" customWidth="1"/>
    <col min="4606" max="4608" width="10.5703125" style="31" customWidth="1"/>
    <col min="4609" max="4611" width="10.42578125" style="31" customWidth="1"/>
    <col min="4612" max="4612" width="10.5703125" style="31" customWidth="1"/>
    <col min="4613" max="4613" width="10.28515625" style="31" customWidth="1"/>
    <col min="4614" max="4614" width="10.140625" style="31" customWidth="1"/>
    <col min="4615" max="4615" width="11.7109375" style="31" customWidth="1"/>
    <col min="4616" max="4616" width="12.42578125" style="31" customWidth="1"/>
    <col min="4617" max="4617" width="11.7109375" style="31" customWidth="1"/>
    <col min="4618" max="4618" width="13.140625" style="31" customWidth="1"/>
    <col min="4619" max="4854" width="9.140625" style="31"/>
    <col min="4855" max="4855" width="3.7109375" style="31" customWidth="1"/>
    <col min="4856" max="4856" width="30.42578125" style="31" customWidth="1"/>
    <col min="4857" max="4857" width="7.140625" style="31" customWidth="1"/>
    <col min="4858" max="4858" width="10.7109375" style="31" customWidth="1"/>
    <col min="4859" max="4859" width="10.42578125" style="31" customWidth="1"/>
    <col min="4860" max="4860" width="10.5703125" style="31" customWidth="1"/>
    <col min="4861" max="4861" width="10.42578125" style="31" customWidth="1"/>
    <col min="4862" max="4864" width="10.5703125" style="31" customWidth="1"/>
    <col min="4865" max="4867" width="10.42578125" style="31" customWidth="1"/>
    <col min="4868" max="4868" width="10.5703125" style="31" customWidth="1"/>
    <col min="4869" max="4869" width="10.28515625" style="31" customWidth="1"/>
    <col min="4870" max="4870" width="10.140625" style="31" customWidth="1"/>
    <col min="4871" max="4871" width="11.7109375" style="31" customWidth="1"/>
    <col min="4872" max="4872" width="12.42578125" style="31" customWidth="1"/>
    <col min="4873" max="4873" width="11.7109375" style="31" customWidth="1"/>
    <col min="4874" max="4874" width="13.140625" style="31" customWidth="1"/>
    <col min="4875" max="5110" width="9.140625" style="31"/>
    <col min="5111" max="5111" width="3.7109375" style="31" customWidth="1"/>
    <col min="5112" max="5112" width="30.42578125" style="31" customWidth="1"/>
    <col min="5113" max="5113" width="7.140625" style="31" customWidth="1"/>
    <col min="5114" max="5114" width="10.7109375" style="31" customWidth="1"/>
    <col min="5115" max="5115" width="10.42578125" style="31" customWidth="1"/>
    <col min="5116" max="5116" width="10.5703125" style="31" customWidth="1"/>
    <col min="5117" max="5117" width="10.42578125" style="31" customWidth="1"/>
    <col min="5118" max="5120" width="10.5703125" style="31" customWidth="1"/>
    <col min="5121" max="5123" width="10.42578125" style="31" customWidth="1"/>
    <col min="5124" max="5124" width="10.5703125" style="31" customWidth="1"/>
    <col min="5125" max="5125" width="10.28515625" style="31" customWidth="1"/>
    <col min="5126" max="5126" width="10.140625" style="31" customWidth="1"/>
    <col min="5127" max="5127" width="11.7109375" style="31" customWidth="1"/>
    <col min="5128" max="5128" width="12.42578125" style="31" customWidth="1"/>
    <col min="5129" max="5129" width="11.7109375" style="31" customWidth="1"/>
    <col min="5130" max="5130" width="13.140625" style="31" customWidth="1"/>
    <col min="5131" max="5366" width="9.140625" style="31"/>
    <col min="5367" max="5367" width="3.7109375" style="31" customWidth="1"/>
    <col min="5368" max="5368" width="30.42578125" style="31" customWidth="1"/>
    <col min="5369" max="5369" width="7.140625" style="31" customWidth="1"/>
    <col min="5370" max="5370" width="10.7109375" style="31" customWidth="1"/>
    <col min="5371" max="5371" width="10.42578125" style="31" customWidth="1"/>
    <col min="5372" max="5372" width="10.5703125" style="31" customWidth="1"/>
    <col min="5373" max="5373" width="10.42578125" style="31" customWidth="1"/>
    <col min="5374" max="5376" width="10.5703125" style="31" customWidth="1"/>
    <col min="5377" max="5379" width="10.42578125" style="31" customWidth="1"/>
    <col min="5380" max="5380" width="10.5703125" style="31" customWidth="1"/>
    <col min="5381" max="5381" width="10.28515625" style="31" customWidth="1"/>
    <col min="5382" max="5382" width="10.140625" style="31" customWidth="1"/>
    <col min="5383" max="5383" width="11.7109375" style="31" customWidth="1"/>
    <col min="5384" max="5384" width="12.42578125" style="31" customWidth="1"/>
    <col min="5385" max="5385" width="11.7109375" style="31" customWidth="1"/>
    <col min="5386" max="5386" width="13.140625" style="31" customWidth="1"/>
    <col min="5387" max="5622" width="9.140625" style="31"/>
    <col min="5623" max="5623" width="3.7109375" style="31" customWidth="1"/>
    <col min="5624" max="5624" width="30.42578125" style="31" customWidth="1"/>
    <col min="5625" max="5625" width="7.140625" style="31" customWidth="1"/>
    <col min="5626" max="5626" width="10.7109375" style="31" customWidth="1"/>
    <col min="5627" max="5627" width="10.42578125" style="31" customWidth="1"/>
    <col min="5628" max="5628" width="10.5703125" style="31" customWidth="1"/>
    <col min="5629" max="5629" width="10.42578125" style="31" customWidth="1"/>
    <col min="5630" max="5632" width="10.5703125" style="31" customWidth="1"/>
    <col min="5633" max="5635" width="10.42578125" style="31" customWidth="1"/>
    <col min="5636" max="5636" width="10.5703125" style="31" customWidth="1"/>
    <col min="5637" max="5637" width="10.28515625" style="31" customWidth="1"/>
    <col min="5638" max="5638" width="10.140625" style="31" customWidth="1"/>
    <col min="5639" max="5639" width="11.7109375" style="31" customWidth="1"/>
    <col min="5640" max="5640" width="12.42578125" style="31" customWidth="1"/>
    <col min="5641" max="5641" width="11.7109375" style="31" customWidth="1"/>
    <col min="5642" max="5642" width="13.140625" style="31" customWidth="1"/>
    <col min="5643" max="5878" width="9.140625" style="31"/>
    <col min="5879" max="5879" width="3.7109375" style="31" customWidth="1"/>
    <col min="5880" max="5880" width="30.42578125" style="31" customWidth="1"/>
    <col min="5881" max="5881" width="7.140625" style="31" customWidth="1"/>
    <col min="5882" max="5882" width="10.7109375" style="31" customWidth="1"/>
    <col min="5883" max="5883" width="10.42578125" style="31" customWidth="1"/>
    <col min="5884" max="5884" width="10.5703125" style="31" customWidth="1"/>
    <col min="5885" max="5885" width="10.42578125" style="31" customWidth="1"/>
    <col min="5886" max="5888" width="10.5703125" style="31" customWidth="1"/>
    <col min="5889" max="5891" width="10.42578125" style="31" customWidth="1"/>
    <col min="5892" max="5892" width="10.5703125" style="31" customWidth="1"/>
    <col min="5893" max="5893" width="10.28515625" style="31" customWidth="1"/>
    <col min="5894" max="5894" width="10.140625" style="31" customWidth="1"/>
    <col min="5895" max="5895" width="11.7109375" style="31" customWidth="1"/>
    <col min="5896" max="5896" width="12.42578125" style="31" customWidth="1"/>
    <col min="5897" max="5897" width="11.7109375" style="31" customWidth="1"/>
    <col min="5898" max="5898" width="13.140625" style="31" customWidth="1"/>
    <col min="5899" max="6134" width="9.140625" style="31"/>
    <col min="6135" max="6135" width="3.7109375" style="31" customWidth="1"/>
    <col min="6136" max="6136" width="30.42578125" style="31" customWidth="1"/>
    <col min="6137" max="6137" width="7.140625" style="31" customWidth="1"/>
    <col min="6138" max="6138" width="10.7109375" style="31" customWidth="1"/>
    <col min="6139" max="6139" width="10.42578125" style="31" customWidth="1"/>
    <col min="6140" max="6140" width="10.5703125" style="31" customWidth="1"/>
    <col min="6141" max="6141" width="10.42578125" style="31" customWidth="1"/>
    <col min="6142" max="6144" width="10.5703125" style="31" customWidth="1"/>
    <col min="6145" max="6147" width="10.42578125" style="31" customWidth="1"/>
    <col min="6148" max="6148" width="10.5703125" style="31" customWidth="1"/>
    <col min="6149" max="6149" width="10.28515625" style="31" customWidth="1"/>
    <col min="6150" max="6150" width="10.140625" style="31" customWidth="1"/>
    <col min="6151" max="6151" width="11.7109375" style="31" customWidth="1"/>
    <col min="6152" max="6152" width="12.42578125" style="31" customWidth="1"/>
    <col min="6153" max="6153" width="11.7109375" style="31" customWidth="1"/>
    <col min="6154" max="6154" width="13.140625" style="31" customWidth="1"/>
    <col min="6155" max="6390" width="9.140625" style="31"/>
    <col min="6391" max="6391" width="3.7109375" style="31" customWidth="1"/>
    <col min="6392" max="6392" width="30.42578125" style="31" customWidth="1"/>
    <col min="6393" max="6393" width="7.140625" style="31" customWidth="1"/>
    <col min="6394" max="6394" width="10.7109375" style="31" customWidth="1"/>
    <col min="6395" max="6395" width="10.42578125" style="31" customWidth="1"/>
    <col min="6396" max="6396" width="10.5703125" style="31" customWidth="1"/>
    <col min="6397" max="6397" width="10.42578125" style="31" customWidth="1"/>
    <col min="6398" max="6400" width="10.5703125" style="31" customWidth="1"/>
    <col min="6401" max="6403" width="10.42578125" style="31" customWidth="1"/>
    <col min="6404" max="6404" width="10.5703125" style="31" customWidth="1"/>
    <col min="6405" max="6405" width="10.28515625" style="31" customWidth="1"/>
    <col min="6406" max="6406" width="10.140625" style="31" customWidth="1"/>
    <col min="6407" max="6407" width="11.7109375" style="31" customWidth="1"/>
    <col min="6408" max="6408" width="12.42578125" style="31" customWidth="1"/>
    <col min="6409" max="6409" width="11.7109375" style="31" customWidth="1"/>
    <col min="6410" max="6410" width="13.140625" style="31" customWidth="1"/>
    <col min="6411" max="6646" width="9.140625" style="31"/>
    <col min="6647" max="6647" width="3.7109375" style="31" customWidth="1"/>
    <col min="6648" max="6648" width="30.42578125" style="31" customWidth="1"/>
    <col min="6649" max="6649" width="7.140625" style="31" customWidth="1"/>
    <col min="6650" max="6650" width="10.7109375" style="31" customWidth="1"/>
    <col min="6651" max="6651" width="10.42578125" style="31" customWidth="1"/>
    <col min="6652" max="6652" width="10.5703125" style="31" customWidth="1"/>
    <col min="6653" max="6653" width="10.42578125" style="31" customWidth="1"/>
    <col min="6654" max="6656" width="10.5703125" style="31" customWidth="1"/>
    <col min="6657" max="6659" width="10.42578125" style="31" customWidth="1"/>
    <col min="6660" max="6660" width="10.5703125" style="31" customWidth="1"/>
    <col min="6661" max="6661" width="10.28515625" style="31" customWidth="1"/>
    <col min="6662" max="6662" width="10.140625" style="31" customWidth="1"/>
    <col min="6663" max="6663" width="11.7109375" style="31" customWidth="1"/>
    <col min="6664" max="6664" width="12.42578125" style="31" customWidth="1"/>
    <col min="6665" max="6665" width="11.7109375" style="31" customWidth="1"/>
    <col min="6666" max="6666" width="13.140625" style="31" customWidth="1"/>
    <col min="6667" max="6902" width="9.140625" style="31"/>
    <col min="6903" max="6903" width="3.7109375" style="31" customWidth="1"/>
    <col min="6904" max="6904" width="30.42578125" style="31" customWidth="1"/>
    <col min="6905" max="6905" width="7.140625" style="31" customWidth="1"/>
    <col min="6906" max="6906" width="10.7109375" style="31" customWidth="1"/>
    <col min="6907" max="6907" width="10.42578125" style="31" customWidth="1"/>
    <col min="6908" max="6908" width="10.5703125" style="31" customWidth="1"/>
    <col min="6909" max="6909" width="10.42578125" style="31" customWidth="1"/>
    <col min="6910" max="6912" width="10.5703125" style="31" customWidth="1"/>
    <col min="6913" max="6915" width="10.42578125" style="31" customWidth="1"/>
    <col min="6916" max="6916" width="10.5703125" style="31" customWidth="1"/>
    <col min="6917" max="6917" width="10.28515625" style="31" customWidth="1"/>
    <col min="6918" max="6918" width="10.140625" style="31" customWidth="1"/>
    <col min="6919" max="6919" width="11.7109375" style="31" customWidth="1"/>
    <col min="6920" max="6920" width="12.42578125" style="31" customWidth="1"/>
    <col min="6921" max="6921" width="11.7109375" style="31" customWidth="1"/>
    <col min="6922" max="6922" width="13.140625" style="31" customWidth="1"/>
    <col min="6923" max="7158" width="9.140625" style="31"/>
    <col min="7159" max="7159" width="3.7109375" style="31" customWidth="1"/>
    <col min="7160" max="7160" width="30.42578125" style="31" customWidth="1"/>
    <col min="7161" max="7161" width="7.140625" style="31" customWidth="1"/>
    <col min="7162" max="7162" width="10.7109375" style="31" customWidth="1"/>
    <col min="7163" max="7163" width="10.42578125" style="31" customWidth="1"/>
    <col min="7164" max="7164" width="10.5703125" style="31" customWidth="1"/>
    <col min="7165" max="7165" width="10.42578125" style="31" customWidth="1"/>
    <col min="7166" max="7168" width="10.5703125" style="31" customWidth="1"/>
    <col min="7169" max="7171" width="10.42578125" style="31" customWidth="1"/>
    <col min="7172" max="7172" width="10.5703125" style="31" customWidth="1"/>
    <col min="7173" max="7173" width="10.28515625" style="31" customWidth="1"/>
    <col min="7174" max="7174" width="10.140625" style="31" customWidth="1"/>
    <col min="7175" max="7175" width="11.7109375" style="31" customWidth="1"/>
    <col min="7176" max="7176" width="12.42578125" style="31" customWidth="1"/>
    <col min="7177" max="7177" width="11.7109375" style="31" customWidth="1"/>
    <col min="7178" max="7178" width="13.140625" style="31" customWidth="1"/>
    <col min="7179" max="7414" width="9.140625" style="31"/>
    <col min="7415" max="7415" width="3.7109375" style="31" customWidth="1"/>
    <col min="7416" max="7416" width="30.42578125" style="31" customWidth="1"/>
    <col min="7417" max="7417" width="7.140625" style="31" customWidth="1"/>
    <col min="7418" max="7418" width="10.7109375" style="31" customWidth="1"/>
    <col min="7419" max="7419" width="10.42578125" style="31" customWidth="1"/>
    <col min="7420" max="7420" width="10.5703125" style="31" customWidth="1"/>
    <col min="7421" max="7421" width="10.42578125" style="31" customWidth="1"/>
    <col min="7422" max="7424" width="10.5703125" style="31" customWidth="1"/>
    <col min="7425" max="7427" width="10.42578125" style="31" customWidth="1"/>
    <col min="7428" max="7428" width="10.5703125" style="31" customWidth="1"/>
    <col min="7429" max="7429" width="10.28515625" style="31" customWidth="1"/>
    <col min="7430" max="7430" width="10.140625" style="31" customWidth="1"/>
    <col min="7431" max="7431" width="11.7109375" style="31" customWidth="1"/>
    <col min="7432" max="7432" width="12.42578125" style="31" customWidth="1"/>
    <col min="7433" max="7433" width="11.7109375" style="31" customWidth="1"/>
    <col min="7434" max="7434" width="13.140625" style="31" customWidth="1"/>
    <col min="7435" max="7670" width="9.140625" style="31"/>
    <col min="7671" max="7671" width="3.7109375" style="31" customWidth="1"/>
    <col min="7672" max="7672" width="30.42578125" style="31" customWidth="1"/>
    <col min="7673" max="7673" width="7.140625" style="31" customWidth="1"/>
    <col min="7674" max="7674" width="10.7109375" style="31" customWidth="1"/>
    <col min="7675" max="7675" width="10.42578125" style="31" customWidth="1"/>
    <col min="7676" max="7676" width="10.5703125" style="31" customWidth="1"/>
    <col min="7677" max="7677" width="10.42578125" style="31" customWidth="1"/>
    <col min="7678" max="7680" width="10.5703125" style="31" customWidth="1"/>
    <col min="7681" max="7683" width="10.42578125" style="31" customWidth="1"/>
    <col min="7684" max="7684" width="10.5703125" style="31" customWidth="1"/>
    <col min="7685" max="7685" width="10.28515625" style="31" customWidth="1"/>
    <col min="7686" max="7686" width="10.140625" style="31" customWidth="1"/>
    <col min="7687" max="7687" width="11.7109375" style="31" customWidth="1"/>
    <col min="7688" max="7688" width="12.42578125" style="31" customWidth="1"/>
    <col min="7689" max="7689" width="11.7109375" style="31" customWidth="1"/>
    <col min="7690" max="7690" width="13.140625" style="31" customWidth="1"/>
    <col min="7691" max="7926" width="9.140625" style="31"/>
    <col min="7927" max="7927" width="3.7109375" style="31" customWidth="1"/>
    <col min="7928" max="7928" width="30.42578125" style="31" customWidth="1"/>
    <col min="7929" max="7929" width="7.140625" style="31" customWidth="1"/>
    <col min="7930" max="7930" width="10.7109375" style="31" customWidth="1"/>
    <col min="7931" max="7931" width="10.42578125" style="31" customWidth="1"/>
    <col min="7932" max="7932" width="10.5703125" style="31" customWidth="1"/>
    <col min="7933" max="7933" width="10.42578125" style="31" customWidth="1"/>
    <col min="7934" max="7936" width="10.5703125" style="31" customWidth="1"/>
    <col min="7937" max="7939" width="10.42578125" style="31" customWidth="1"/>
    <col min="7940" max="7940" width="10.5703125" style="31" customWidth="1"/>
    <col min="7941" max="7941" width="10.28515625" style="31" customWidth="1"/>
    <col min="7942" max="7942" width="10.140625" style="31" customWidth="1"/>
    <col min="7943" max="7943" width="11.7109375" style="31" customWidth="1"/>
    <col min="7944" max="7944" width="12.42578125" style="31" customWidth="1"/>
    <col min="7945" max="7945" width="11.7109375" style="31" customWidth="1"/>
    <col min="7946" max="7946" width="13.140625" style="31" customWidth="1"/>
    <col min="7947" max="8182" width="9.140625" style="31"/>
    <col min="8183" max="8183" width="3.7109375" style="31" customWidth="1"/>
    <col min="8184" max="8184" width="30.42578125" style="31" customWidth="1"/>
    <col min="8185" max="8185" width="7.140625" style="31" customWidth="1"/>
    <col min="8186" max="8186" width="10.7109375" style="31" customWidth="1"/>
    <col min="8187" max="8187" width="10.42578125" style="31" customWidth="1"/>
    <col min="8188" max="8188" width="10.5703125" style="31" customWidth="1"/>
    <col min="8189" max="8189" width="10.42578125" style="31" customWidth="1"/>
    <col min="8190" max="8192" width="10.5703125" style="31" customWidth="1"/>
    <col min="8193" max="8195" width="10.42578125" style="31" customWidth="1"/>
    <col min="8196" max="8196" width="10.5703125" style="31" customWidth="1"/>
    <col min="8197" max="8197" width="10.28515625" style="31" customWidth="1"/>
    <col min="8198" max="8198" width="10.140625" style="31" customWidth="1"/>
    <col min="8199" max="8199" width="11.7109375" style="31" customWidth="1"/>
    <col min="8200" max="8200" width="12.42578125" style="31" customWidth="1"/>
    <col min="8201" max="8201" width="11.7109375" style="31" customWidth="1"/>
    <col min="8202" max="8202" width="13.140625" style="31" customWidth="1"/>
    <col min="8203" max="8438" width="9.140625" style="31"/>
    <col min="8439" max="8439" width="3.7109375" style="31" customWidth="1"/>
    <col min="8440" max="8440" width="30.42578125" style="31" customWidth="1"/>
    <col min="8441" max="8441" width="7.140625" style="31" customWidth="1"/>
    <col min="8442" max="8442" width="10.7109375" style="31" customWidth="1"/>
    <col min="8443" max="8443" width="10.42578125" style="31" customWidth="1"/>
    <col min="8444" max="8444" width="10.5703125" style="31" customWidth="1"/>
    <col min="8445" max="8445" width="10.42578125" style="31" customWidth="1"/>
    <col min="8446" max="8448" width="10.5703125" style="31" customWidth="1"/>
    <col min="8449" max="8451" width="10.42578125" style="31" customWidth="1"/>
    <col min="8452" max="8452" width="10.5703125" style="31" customWidth="1"/>
    <col min="8453" max="8453" width="10.28515625" style="31" customWidth="1"/>
    <col min="8454" max="8454" width="10.140625" style="31" customWidth="1"/>
    <col min="8455" max="8455" width="11.7109375" style="31" customWidth="1"/>
    <col min="8456" max="8456" width="12.42578125" style="31" customWidth="1"/>
    <col min="8457" max="8457" width="11.7109375" style="31" customWidth="1"/>
    <col min="8458" max="8458" width="13.140625" style="31" customWidth="1"/>
    <col min="8459" max="8694" width="9.140625" style="31"/>
    <col min="8695" max="8695" width="3.7109375" style="31" customWidth="1"/>
    <col min="8696" max="8696" width="30.42578125" style="31" customWidth="1"/>
    <col min="8697" max="8697" width="7.140625" style="31" customWidth="1"/>
    <col min="8698" max="8698" width="10.7109375" style="31" customWidth="1"/>
    <col min="8699" max="8699" width="10.42578125" style="31" customWidth="1"/>
    <col min="8700" max="8700" width="10.5703125" style="31" customWidth="1"/>
    <col min="8701" max="8701" width="10.42578125" style="31" customWidth="1"/>
    <col min="8702" max="8704" width="10.5703125" style="31" customWidth="1"/>
    <col min="8705" max="8707" width="10.42578125" style="31" customWidth="1"/>
    <col min="8708" max="8708" width="10.5703125" style="31" customWidth="1"/>
    <col min="8709" max="8709" width="10.28515625" style="31" customWidth="1"/>
    <col min="8710" max="8710" width="10.140625" style="31" customWidth="1"/>
    <col min="8711" max="8711" width="11.7109375" style="31" customWidth="1"/>
    <col min="8712" max="8712" width="12.42578125" style="31" customWidth="1"/>
    <col min="8713" max="8713" width="11.7109375" style="31" customWidth="1"/>
    <col min="8714" max="8714" width="13.140625" style="31" customWidth="1"/>
    <col min="8715" max="8950" width="9.140625" style="31"/>
    <col min="8951" max="8951" width="3.7109375" style="31" customWidth="1"/>
    <col min="8952" max="8952" width="30.42578125" style="31" customWidth="1"/>
    <col min="8953" max="8953" width="7.140625" style="31" customWidth="1"/>
    <col min="8954" max="8954" width="10.7109375" style="31" customWidth="1"/>
    <col min="8955" max="8955" width="10.42578125" style="31" customWidth="1"/>
    <col min="8956" max="8956" width="10.5703125" style="31" customWidth="1"/>
    <col min="8957" max="8957" width="10.42578125" style="31" customWidth="1"/>
    <col min="8958" max="8960" width="10.5703125" style="31" customWidth="1"/>
    <col min="8961" max="8963" width="10.42578125" style="31" customWidth="1"/>
    <col min="8964" max="8964" width="10.5703125" style="31" customWidth="1"/>
    <col min="8965" max="8965" width="10.28515625" style="31" customWidth="1"/>
    <col min="8966" max="8966" width="10.140625" style="31" customWidth="1"/>
    <col min="8967" max="8967" width="11.7109375" style="31" customWidth="1"/>
    <col min="8968" max="8968" width="12.42578125" style="31" customWidth="1"/>
    <col min="8969" max="8969" width="11.7109375" style="31" customWidth="1"/>
    <col min="8970" max="8970" width="13.140625" style="31" customWidth="1"/>
    <col min="8971" max="9206" width="9.140625" style="31"/>
    <col min="9207" max="9207" width="3.7109375" style="31" customWidth="1"/>
    <col min="9208" max="9208" width="30.42578125" style="31" customWidth="1"/>
    <col min="9209" max="9209" width="7.140625" style="31" customWidth="1"/>
    <col min="9210" max="9210" width="10.7109375" style="31" customWidth="1"/>
    <col min="9211" max="9211" width="10.42578125" style="31" customWidth="1"/>
    <col min="9212" max="9212" width="10.5703125" style="31" customWidth="1"/>
    <col min="9213" max="9213" width="10.42578125" style="31" customWidth="1"/>
    <col min="9214" max="9216" width="10.5703125" style="31" customWidth="1"/>
    <col min="9217" max="9219" width="10.42578125" style="31" customWidth="1"/>
    <col min="9220" max="9220" width="10.5703125" style="31" customWidth="1"/>
    <col min="9221" max="9221" width="10.28515625" style="31" customWidth="1"/>
    <col min="9222" max="9222" width="10.140625" style="31" customWidth="1"/>
    <col min="9223" max="9223" width="11.7109375" style="31" customWidth="1"/>
    <col min="9224" max="9224" width="12.42578125" style="31" customWidth="1"/>
    <col min="9225" max="9225" width="11.7109375" style="31" customWidth="1"/>
    <col min="9226" max="9226" width="13.140625" style="31" customWidth="1"/>
    <col min="9227" max="9462" width="9.140625" style="31"/>
    <col min="9463" max="9463" width="3.7109375" style="31" customWidth="1"/>
    <col min="9464" max="9464" width="30.42578125" style="31" customWidth="1"/>
    <col min="9465" max="9465" width="7.140625" style="31" customWidth="1"/>
    <col min="9466" max="9466" width="10.7109375" style="31" customWidth="1"/>
    <col min="9467" max="9467" width="10.42578125" style="31" customWidth="1"/>
    <col min="9468" max="9468" width="10.5703125" style="31" customWidth="1"/>
    <col min="9469" max="9469" width="10.42578125" style="31" customWidth="1"/>
    <col min="9470" max="9472" width="10.5703125" style="31" customWidth="1"/>
    <col min="9473" max="9475" width="10.42578125" style="31" customWidth="1"/>
    <col min="9476" max="9476" width="10.5703125" style="31" customWidth="1"/>
    <col min="9477" max="9477" width="10.28515625" style="31" customWidth="1"/>
    <col min="9478" max="9478" width="10.140625" style="31" customWidth="1"/>
    <col min="9479" max="9479" width="11.7109375" style="31" customWidth="1"/>
    <col min="9480" max="9480" width="12.42578125" style="31" customWidth="1"/>
    <col min="9481" max="9481" width="11.7109375" style="31" customWidth="1"/>
    <col min="9482" max="9482" width="13.140625" style="31" customWidth="1"/>
    <col min="9483" max="9718" width="9.140625" style="31"/>
    <col min="9719" max="9719" width="3.7109375" style="31" customWidth="1"/>
    <col min="9720" max="9720" width="30.42578125" style="31" customWidth="1"/>
    <col min="9721" max="9721" width="7.140625" style="31" customWidth="1"/>
    <col min="9722" max="9722" width="10.7109375" style="31" customWidth="1"/>
    <col min="9723" max="9723" width="10.42578125" style="31" customWidth="1"/>
    <col min="9724" max="9724" width="10.5703125" style="31" customWidth="1"/>
    <col min="9725" max="9725" width="10.42578125" style="31" customWidth="1"/>
    <col min="9726" max="9728" width="10.5703125" style="31" customWidth="1"/>
    <col min="9729" max="9731" width="10.42578125" style="31" customWidth="1"/>
    <col min="9732" max="9732" width="10.5703125" style="31" customWidth="1"/>
    <col min="9733" max="9733" width="10.28515625" style="31" customWidth="1"/>
    <col min="9734" max="9734" width="10.140625" style="31" customWidth="1"/>
    <col min="9735" max="9735" width="11.7109375" style="31" customWidth="1"/>
    <col min="9736" max="9736" width="12.42578125" style="31" customWidth="1"/>
    <col min="9737" max="9737" width="11.7109375" style="31" customWidth="1"/>
    <col min="9738" max="9738" width="13.140625" style="31" customWidth="1"/>
    <col min="9739" max="9974" width="9.140625" style="31"/>
    <col min="9975" max="9975" width="3.7109375" style="31" customWidth="1"/>
    <col min="9976" max="9976" width="30.42578125" style="31" customWidth="1"/>
    <col min="9977" max="9977" width="7.140625" style="31" customWidth="1"/>
    <col min="9978" max="9978" width="10.7109375" style="31" customWidth="1"/>
    <col min="9979" max="9979" width="10.42578125" style="31" customWidth="1"/>
    <col min="9980" max="9980" width="10.5703125" style="31" customWidth="1"/>
    <col min="9981" max="9981" width="10.42578125" style="31" customWidth="1"/>
    <col min="9982" max="9984" width="10.5703125" style="31" customWidth="1"/>
    <col min="9985" max="9987" width="10.42578125" style="31" customWidth="1"/>
    <col min="9988" max="9988" width="10.5703125" style="31" customWidth="1"/>
    <col min="9989" max="9989" width="10.28515625" style="31" customWidth="1"/>
    <col min="9990" max="9990" width="10.140625" style="31" customWidth="1"/>
    <col min="9991" max="9991" width="11.7109375" style="31" customWidth="1"/>
    <col min="9992" max="9992" width="12.42578125" style="31" customWidth="1"/>
    <col min="9993" max="9993" width="11.7109375" style="31" customWidth="1"/>
    <col min="9994" max="9994" width="13.140625" style="31" customWidth="1"/>
    <col min="9995" max="10230" width="9.140625" style="31"/>
    <col min="10231" max="10231" width="3.7109375" style="31" customWidth="1"/>
    <col min="10232" max="10232" width="30.42578125" style="31" customWidth="1"/>
    <col min="10233" max="10233" width="7.140625" style="31" customWidth="1"/>
    <col min="10234" max="10234" width="10.7109375" style="31" customWidth="1"/>
    <col min="10235" max="10235" width="10.42578125" style="31" customWidth="1"/>
    <col min="10236" max="10236" width="10.5703125" style="31" customWidth="1"/>
    <col min="10237" max="10237" width="10.42578125" style="31" customWidth="1"/>
    <col min="10238" max="10240" width="10.5703125" style="31" customWidth="1"/>
    <col min="10241" max="10243" width="10.42578125" style="31" customWidth="1"/>
    <col min="10244" max="10244" width="10.5703125" style="31" customWidth="1"/>
    <col min="10245" max="10245" width="10.28515625" style="31" customWidth="1"/>
    <col min="10246" max="10246" width="10.140625" style="31" customWidth="1"/>
    <col min="10247" max="10247" width="11.7109375" style="31" customWidth="1"/>
    <col min="10248" max="10248" width="12.42578125" style="31" customWidth="1"/>
    <col min="10249" max="10249" width="11.7109375" style="31" customWidth="1"/>
    <col min="10250" max="10250" width="13.140625" style="31" customWidth="1"/>
    <col min="10251" max="10486" width="9.140625" style="31"/>
    <col min="10487" max="10487" width="3.7109375" style="31" customWidth="1"/>
    <col min="10488" max="10488" width="30.42578125" style="31" customWidth="1"/>
    <col min="10489" max="10489" width="7.140625" style="31" customWidth="1"/>
    <col min="10490" max="10490" width="10.7109375" style="31" customWidth="1"/>
    <col min="10491" max="10491" width="10.42578125" style="31" customWidth="1"/>
    <col min="10492" max="10492" width="10.5703125" style="31" customWidth="1"/>
    <col min="10493" max="10493" width="10.42578125" style="31" customWidth="1"/>
    <col min="10494" max="10496" width="10.5703125" style="31" customWidth="1"/>
    <col min="10497" max="10499" width="10.42578125" style="31" customWidth="1"/>
    <col min="10500" max="10500" width="10.5703125" style="31" customWidth="1"/>
    <col min="10501" max="10501" width="10.28515625" style="31" customWidth="1"/>
    <col min="10502" max="10502" width="10.140625" style="31" customWidth="1"/>
    <col min="10503" max="10503" width="11.7109375" style="31" customWidth="1"/>
    <col min="10504" max="10504" width="12.42578125" style="31" customWidth="1"/>
    <col min="10505" max="10505" width="11.7109375" style="31" customWidth="1"/>
    <col min="10506" max="10506" width="13.140625" style="31" customWidth="1"/>
    <col min="10507" max="10742" width="9.140625" style="31"/>
    <col min="10743" max="10743" width="3.7109375" style="31" customWidth="1"/>
    <col min="10744" max="10744" width="30.42578125" style="31" customWidth="1"/>
    <col min="10745" max="10745" width="7.140625" style="31" customWidth="1"/>
    <col min="10746" max="10746" width="10.7109375" style="31" customWidth="1"/>
    <col min="10747" max="10747" width="10.42578125" style="31" customWidth="1"/>
    <col min="10748" max="10748" width="10.5703125" style="31" customWidth="1"/>
    <col min="10749" max="10749" width="10.42578125" style="31" customWidth="1"/>
    <col min="10750" max="10752" width="10.5703125" style="31" customWidth="1"/>
    <col min="10753" max="10755" width="10.42578125" style="31" customWidth="1"/>
    <col min="10756" max="10756" width="10.5703125" style="31" customWidth="1"/>
    <col min="10757" max="10757" width="10.28515625" style="31" customWidth="1"/>
    <col min="10758" max="10758" width="10.140625" style="31" customWidth="1"/>
    <col min="10759" max="10759" width="11.7109375" style="31" customWidth="1"/>
    <col min="10760" max="10760" width="12.42578125" style="31" customWidth="1"/>
    <col min="10761" max="10761" width="11.7109375" style="31" customWidth="1"/>
    <col min="10762" max="10762" width="13.140625" style="31" customWidth="1"/>
    <col min="10763" max="10998" width="9.140625" style="31"/>
    <col min="10999" max="10999" width="3.7109375" style="31" customWidth="1"/>
    <col min="11000" max="11000" width="30.42578125" style="31" customWidth="1"/>
    <col min="11001" max="11001" width="7.140625" style="31" customWidth="1"/>
    <col min="11002" max="11002" width="10.7109375" style="31" customWidth="1"/>
    <col min="11003" max="11003" width="10.42578125" style="31" customWidth="1"/>
    <col min="11004" max="11004" width="10.5703125" style="31" customWidth="1"/>
    <col min="11005" max="11005" width="10.42578125" style="31" customWidth="1"/>
    <col min="11006" max="11008" width="10.5703125" style="31" customWidth="1"/>
    <col min="11009" max="11011" width="10.42578125" style="31" customWidth="1"/>
    <col min="11012" max="11012" width="10.5703125" style="31" customWidth="1"/>
    <col min="11013" max="11013" width="10.28515625" style="31" customWidth="1"/>
    <col min="11014" max="11014" width="10.140625" style="31" customWidth="1"/>
    <col min="11015" max="11015" width="11.7109375" style="31" customWidth="1"/>
    <col min="11016" max="11016" width="12.42578125" style="31" customWidth="1"/>
    <col min="11017" max="11017" width="11.7109375" style="31" customWidth="1"/>
    <col min="11018" max="11018" width="13.140625" style="31" customWidth="1"/>
    <col min="11019" max="11254" width="9.140625" style="31"/>
    <col min="11255" max="11255" width="3.7109375" style="31" customWidth="1"/>
    <col min="11256" max="11256" width="30.42578125" style="31" customWidth="1"/>
    <col min="11257" max="11257" width="7.140625" style="31" customWidth="1"/>
    <col min="11258" max="11258" width="10.7109375" style="31" customWidth="1"/>
    <col min="11259" max="11259" width="10.42578125" style="31" customWidth="1"/>
    <col min="11260" max="11260" width="10.5703125" style="31" customWidth="1"/>
    <col min="11261" max="11261" width="10.42578125" style="31" customWidth="1"/>
    <col min="11262" max="11264" width="10.5703125" style="31" customWidth="1"/>
    <col min="11265" max="11267" width="10.42578125" style="31" customWidth="1"/>
    <col min="11268" max="11268" width="10.5703125" style="31" customWidth="1"/>
    <col min="11269" max="11269" width="10.28515625" style="31" customWidth="1"/>
    <col min="11270" max="11270" width="10.140625" style="31" customWidth="1"/>
    <col min="11271" max="11271" width="11.7109375" style="31" customWidth="1"/>
    <col min="11272" max="11272" width="12.42578125" style="31" customWidth="1"/>
    <col min="11273" max="11273" width="11.7109375" style="31" customWidth="1"/>
    <col min="11274" max="11274" width="13.140625" style="31" customWidth="1"/>
    <col min="11275" max="11510" width="9.140625" style="31"/>
    <col min="11511" max="11511" width="3.7109375" style="31" customWidth="1"/>
    <col min="11512" max="11512" width="30.42578125" style="31" customWidth="1"/>
    <col min="11513" max="11513" width="7.140625" style="31" customWidth="1"/>
    <col min="11514" max="11514" width="10.7109375" style="31" customWidth="1"/>
    <col min="11515" max="11515" width="10.42578125" style="31" customWidth="1"/>
    <col min="11516" max="11516" width="10.5703125" style="31" customWidth="1"/>
    <col min="11517" max="11517" width="10.42578125" style="31" customWidth="1"/>
    <col min="11518" max="11520" width="10.5703125" style="31" customWidth="1"/>
    <col min="11521" max="11523" width="10.42578125" style="31" customWidth="1"/>
    <col min="11524" max="11524" width="10.5703125" style="31" customWidth="1"/>
    <col min="11525" max="11525" width="10.28515625" style="31" customWidth="1"/>
    <col min="11526" max="11526" width="10.140625" style="31" customWidth="1"/>
    <col min="11527" max="11527" width="11.7109375" style="31" customWidth="1"/>
    <col min="11528" max="11528" width="12.42578125" style="31" customWidth="1"/>
    <col min="11529" max="11529" width="11.7109375" style="31" customWidth="1"/>
    <col min="11530" max="11530" width="13.140625" style="31" customWidth="1"/>
    <col min="11531" max="11766" width="9.140625" style="31"/>
    <col min="11767" max="11767" width="3.7109375" style="31" customWidth="1"/>
    <col min="11768" max="11768" width="30.42578125" style="31" customWidth="1"/>
    <col min="11769" max="11769" width="7.140625" style="31" customWidth="1"/>
    <col min="11770" max="11770" width="10.7109375" style="31" customWidth="1"/>
    <col min="11771" max="11771" width="10.42578125" style="31" customWidth="1"/>
    <col min="11772" max="11772" width="10.5703125" style="31" customWidth="1"/>
    <col min="11773" max="11773" width="10.42578125" style="31" customWidth="1"/>
    <col min="11774" max="11776" width="10.5703125" style="31" customWidth="1"/>
    <col min="11777" max="11779" width="10.42578125" style="31" customWidth="1"/>
    <col min="11780" max="11780" width="10.5703125" style="31" customWidth="1"/>
    <col min="11781" max="11781" width="10.28515625" style="31" customWidth="1"/>
    <col min="11782" max="11782" width="10.140625" style="31" customWidth="1"/>
    <col min="11783" max="11783" width="11.7109375" style="31" customWidth="1"/>
    <col min="11784" max="11784" width="12.42578125" style="31" customWidth="1"/>
    <col min="11785" max="11785" width="11.7109375" style="31" customWidth="1"/>
    <col min="11786" max="11786" width="13.140625" style="31" customWidth="1"/>
    <col min="11787" max="12022" width="9.140625" style="31"/>
    <col min="12023" max="12023" width="3.7109375" style="31" customWidth="1"/>
    <col min="12024" max="12024" width="30.42578125" style="31" customWidth="1"/>
    <col min="12025" max="12025" width="7.140625" style="31" customWidth="1"/>
    <col min="12026" max="12026" width="10.7109375" style="31" customWidth="1"/>
    <col min="12027" max="12027" width="10.42578125" style="31" customWidth="1"/>
    <col min="12028" max="12028" width="10.5703125" style="31" customWidth="1"/>
    <col min="12029" max="12029" width="10.42578125" style="31" customWidth="1"/>
    <col min="12030" max="12032" width="10.5703125" style="31" customWidth="1"/>
    <col min="12033" max="12035" width="10.42578125" style="31" customWidth="1"/>
    <col min="12036" max="12036" width="10.5703125" style="31" customWidth="1"/>
    <col min="12037" max="12037" width="10.28515625" style="31" customWidth="1"/>
    <col min="12038" max="12038" width="10.140625" style="31" customWidth="1"/>
    <col min="12039" max="12039" width="11.7109375" style="31" customWidth="1"/>
    <col min="12040" max="12040" width="12.42578125" style="31" customWidth="1"/>
    <col min="12041" max="12041" width="11.7109375" style="31" customWidth="1"/>
    <col min="12042" max="12042" width="13.140625" style="31" customWidth="1"/>
    <col min="12043" max="12278" width="9.140625" style="31"/>
    <col min="12279" max="12279" width="3.7109375" style="31" customWidth="1"/>
    <col min="12280" max="12280" width="30.42578125" style="31" customWidth="1"/>
    <col min="12281" max="12281" width="7.140625" style="31" customWidth="1"/>
    <col min="12282" max="12282" width="10.7109375" style="31" customWidth="1"/>
    <col min="12283" max="12283" width="10.42578125" style="31" customWidth="1"/>
    <col min="12284" max="12284" width="10.5703125" style="31" customWidth="1"/>
    <col min="12285" max="12285" width="10.42578125" style="31" customWidth="1"/>
    <col min="12286" max="12288" width="10.5703125" style="31" customWidth="1"/>
    <col min="12289" max="12291" width="10.42578125" style="31" customWidth="1"/>
    <col min="12292" max="12292" width="10.5703125" style="31" customWidth="1"/>
    <col min="12293" max="12293" width="10.28515625" style="31" customWidth="1"/>
    <col min="12294" max="12294" width="10.140625" style="31" customWidth="1"/>
    <col min="12295" max="12295" width="11.7109375" style="31" customWidth="1"/>
    <col min="12296" max="12296" width="12.42578125" style="31" customWidth="1"/>
    <col min="12297" max="12297" width="11.7109375" style="31" customWidth="1"/>
    <col min="12298" max="12298" width="13.140625" style="31" customWidth="1"/>
    <col min="12299" max="12534" width="9.140625" style="31"/>
    <col min="12535" max="12535" width="3.7109375" style="31" customWidth="1"/>
    <col min="12536" max="12536" width="30.42578125" style="31" customWidth="1"/>
    <col min="12537" max="12537" width="7.140625" style="31" customWidth="1"/>
    <col min="12538" max="12538" width="10.7109375" style="31" customWidth="1"/>
    <col min="12539" max="12539" width="10.42578125" style="31" customWidth="1"/>
    <col min="12540" max="12540" width="10.5703125" style="31" customWidth="1"/>
    <col min="12541" max="12541" width="10.42578125" style="31" customWidth="1"/>
    <col min="12542" max="12544" width="10.5703125" style="31" customWidth="1"/>
    <col min="12545" max="12547" width="10.42578125" style="31" customWidth="1"/>
    <col min="12548" max="12548" width="10.5703125" style="31" customWidth="1"/>
    <col min="12549" max="12549" width="10.28515625" style="31" customWidth="1"/>
    <col min="12550" max="12550" width="10.140625" style="31" customWidth="1"/>
    <col min="12551" max="12551" width="11.7109375" style="31" customWidth="1"/>
    <col min="12552" max="12552" width="12.42578125" style="31" customWidth="1"/>
    <col min="12553" max="12553" width="11.7109375" style="31" customWidth="1"/>
    <col min="12554" max="12554" width="13.140625" style="31" customWidth="1"/>
    <col min="12555" max="12790" width="9.140625" style="31"/>
    <col min="12791" max="12791" width="3.7109375" style="31" customWidth="1"/>
    <col min="12792" max="12792" width="30.42578125" style="31" customWidth="1"/>
    <col min="12793" max="12793" width="7.140625" style="31" customWidth="1"/>
    <col min="12794" max="12794" width="10.7109375" style="31" customWidth="1"/>
    <col min="12795" max="12795" width="10.42578125" style="31" customWidth="1"/>
    <col min="12796" max="12796" width="10.5703125" style="31" customWidth="1"/>
    <col min="12797" max="12797" width="10.42578125" style="31" customWidth="1"/>
    <col min="12798" max="12800" width="10.5703125" style="31" customWidth="1"/>
    <col min="12801" max="12803" width="10.42578125" style="31" customWidth="1"/>
    <col min="12804" max="12804" width="10.5703125" style="31" customWidth="1"/>
    <col min="12805" max="12805" width="10.28515625" style="31" customWidth="1"/>
    <col min="12806" max="12806" width="10.140625" style="31" customWidth="1"/>
    <col min="12807" max="12807" width="11.7109375" style="31" customWidth="1"/>
    <col min="12808" max="12808" width="12.42578125" style="31" customWidth="1"/>
    <col min="12809" max="12809" width="11.7109375" style="31" customWidth="1"/>
    <col min="12810" max="12810" width="13.140625" style="31" customWidth="1"/>
    <col min="12811" max="13046" width="9.140625" style="31"/>
    <col min="13047" max="13047" width="3.7109375" style="31" customWidth="1"/>
    <col min="13048" max="13048" width="30.42578125" style="31" customWidth="1"/>
    <col min="13049" max="13049" width="7.140625" style="31" customWidth="1"/>
    <col min="13050" max="13050" width="10.7109375" style="31" customWidth="1"/>
    <col min="13051" max="13051" width="10.42578125" style="31" customWidth="1"/>
    <col min="13052" max="13052" width="10.5703125" style="31" customWidth="1"/>
    <col min="13053" max="13053" width="10.42578125" style="31" customWidth="1"/>
    <col min="13054" max="13056" width="10.5703125" style="31" customWidth="1"/>
    <col min="13057" max="13059" width="10.42578125" style="31" customWidth="1"/>
    <col min="13060" max="13060" width="10.5703125" style="31" customWidth="1"/>
    <col min="13061" max="13061" width="10.28515625" style="31" customWidth="1"/>
    <col min="13062" max="13062" width="10.140625" style="31" customWidth="1"/>
    <col min="13063" max="13063" width="11.7109375" style="31" customWidth="1"/>
    <col min="13064" max="13064" width="12.42578125" style="31" customWidth="1"/>
    <col min="13065" max="13065" width="11.7109375" style="31" customWidth="1"/>
    <col min="13066" max="13066" width="13.140625" style="31" customWidth="1"/>
    <col min="13067" max="13302" width="9.140625" style="31"/>
    <col min="13303" max="13303" width="3.7109375" style="31" customWidth="1"/>
    <col min="13304" max="13304" width="30.42578125" style="31" customWidth="1"/>
    <col min="13305" max="13305" width="7.140625" style="31" customWidth="1"/>
    <col min="13306" max="13306" width="10.7109375" style="31" customWidth="1"/>
    <col min="13307" max="13307" width="10.42578125" style="31" customWidth="1"/>
    <col min="13308" max="13308" width="10.5703125" style="31" customWidth="1"/>
    <col min="13309" max="13309" width="10.42578125" style="31" customWidth="1"/>
    <col min="13310" max="13312" width="10.5703125" style="31" customWidth="1"/>
    <col min="13313" max="13315" width="10.42578125" style="31" customWidth="1"/>
    <col min="13316" max="13316" width="10.5703125" style="31" customWidth="1"/>
    <col min="13317" max="13317" width="10.28515625" style="31" customWidth="1"/>
    <col min="13318" max="13318" width="10.140625" style="31" customWidth="1"/>
    <col min="13319" max="13319" width="11.7109375" style="31" customWidth="1"/>
    <col min="13320" max="13320" width="12.42578125" style="31" customWidth="1"/>
    <col min="13321" max="13321" width="11.7109375" style="31" customWidth="1"/>
    <col min="13322" max="13322" width="13.140625" style="31" customWidth="1"/>
    <col min="13323" max="13558" width="9.140625" style="31"/>
    <col min="13559" max="13559" width="3.7109375" style="31" customWidth="1"/>
    <col min="13560" max="13560" width="30.42578125" style="31" customWidth="1"/>
    <col min="13561" max="13561" width="7.140625" style="31" customWidth="1"/>
    <col min="13562" max="13562" width="10.7109375" style="31" customWidth="1"/>
    <col min="13563" max="13563" width="10.42578125" style="31" customWidth="1"/>
    <col min="13564" max="13564" width="10.5703125" style="31" customWidth="1"/>
    <col min="13565" max="13565" width="10.42578125" style="31" customWidth="1"/>
    <col min="13566" max="13568" width="10.5703125" style="31" customWidth="1"/>
    <col min="13569" max="13571" width="10.42578125" style="31" customWidth="1"/>
    <col min="13572" max="13572" width="10.5703125" style="31" customWidth="1"/>
    <col min="13573" max="13573" width="10.28515625" style="31" customWidth="1"/>
    <col min="13574" max="13574" width="10.140625" style="31" customWidth="1"/>
    <col min="13575" max="13575" width="11.7109375" style="31" customWidth="1"/>
    <col min="13576" max="13576" width="12.42578125" style="31" customWidth="1"/>
    <col min="13577" max="13577" width="11.7109375" style="31" customWidth="1"/>
    <col min="13578" max="13578" width="13.140625" style="31" customWidth="1"/>
    <col min="13579" max="13814" width="9.140625" style="31"/>
    <col min="13815" max="13815" width="3.7109375" style="31" customWidth="1"/>
    <col min="13816" max="13816" width="30.42578125" style="31" customWidth="1"/>
    <col min="13817" max="13817" width="7.140625" style="31" customWidth="1"/>
    <col min="13818" max="13818" width="10.7109375" style="31" customWidth="1"/>
    <col min="13819" max="13819" width="10.42578125" style="31" customWidth="1"/>
    <col min="13820" max="13820" width="10.5703125" style="31" customWidth="1"/>
    <col min="13821" max="13821" width="10.42578125" style="31" customWidth="1"/>
    <col min="13822" max="13824" width="10.5703125" style="31" customWidth="1"/>
    <col min="13825" max="13827" width="10.42578125" style="31" customWidth="1"/>
    <col min="13828" max="13828" width="10.5703125" style="31" customWidth="1"/>
    <col min="13829" max="13829" width="10.28515625" style="31" customWidth="1"/>
    <col min="13830" max="13830" width="10.140625" style="31" customWidth="1"/>
    <col min="13831" max="13831" width="11.7109375" style="31" customWidth="1"/>
    <col min="13832" max="13832" width="12.42578125" style="31" customWidth="1"/>
    <col min="13833" max="13833" width="11.7109375" style="31" customWidth="1"/>
    <col min="13834" max="13834" width="13.140625" style="31" customWidth="1"/>
    <col min="13835" max="14070" width="9.140625" style="31"/>
    <col min="14071" max="14071" width="3.7109375" style="31" customWidth="1"/>
    <col min="14072" max="14072" width="30.42578125" style="31" customWidth="1"/>
    <col min="14073" max="14073" width="7.140625" style="31" customWidth="1"/>
    <col min="14074" max="14074" width="10.7109375" style="31" customWidth="1"/>
    <col min="14075" max="14075" width="10.42578125" style="31" customWidth="1"/>
    <col min="14076" max="14076" width="10.5703125" style="31" customWidth="1"/>
    <col min="14077" max="14077" width="10.42578125" style="31" customWidth="1"/>
    <col min="14078" max="14080" width="10.5703125" style="31" customWidth="1"/>
    <col min="14081" max="14083" width="10.42578125" style="31" customWidth="1"/>
    <col min="14084" max="14084" width="10.5703125" style="31" customWidth="1"/>
    <col min="14085" max="14085" width="10.28515625" style="31" customWidth="1"/>
    <col min="14086" max="14086" width="10.140625" style="31" customWidth="1"/>
    <col min="14087" max="14087" width="11.7109375" style="31" customWidth="1"/>
    <col min="14088" max="14088" width="12.42578125" style="31" customWidth="1"/>
    <col min="14089" max="14089" width="11.7109375" style="31" customWidth="1"/>
    <col min="14090" max="14090" width="13.140625" style="31" customWidth="1"/>
    <col min="14091" max="14326" width="9.140625" style="31"/>
    <col min="14327" max="14327" width="3.7109375" style="31" customWidth="1"/>
    <col min="14328" max="14328" width="30.42578125" style="31" customWidth="1"/>
    <col min="14329" max="14329" width="7.140625" style="31" customWidth="1"/>
    <col min="14330" max="14330" width="10.7109375" style="31" customWidth="1"/>
    <col min="14331" max="14331" width="10.42578125" style="31" customWidth="1"/>
    <col min="14332" max="14332" width="10.5703125" style="31" customWidth="1"/>
    <col min="14333" max="14333" width="10.42578125" style="31" customWidth="1"/>
    <col min="14334" max="14336" width="10.5703125" style="31" customWidth="1"/>
    <col min="14337" max="14339" width="10.42578125" style="31" customWidth="1"/>
    <col min="14340" max="14340" width="10.5703125" style="31" customWidth="1"/>
    <col min="14341" max="14341" width="10.28515625" style="31" customWidth="1"/>
    <col min="14342" max="14342" width="10.140625" style="31" customWidth="1"/>
    <col min="14343" max="14343" width="11.7109375" style="31" customWidth="1"/>
    <col min="14344" max="14344" width="12.42578125" style="31" customWidth="1"/>
    <col min="14345" max="14345" width="11.7109375" style="31" customWidth="1"/>
    <col min="14346" max="14346" width="13.140625" style="31" customWidth="1"/>
    <col min="14347" max="14582" width="9.140625" style="31"/>
    <col min="14583" max="14583" width="3.7109375" style="31" customWidth="1"/>
    <col min="14584" max="14584" width="30.42578125" style="31" customWidth="1"/>
    <col min="14585" max="14585" width="7.140625" style="31" customWidth="1"/>
    <col min="14586" max="14586" width="10.7109375" style="31" customWidth="1"/>
    <col min="14587" max="14587" width="10.42578125" style="31" customWidth="1"/>
    <col min="14588" max="14588" width="10.5703125" style="31" customWidth="1"/>
    <col min="14589" max="14589" width="10.42578125" style="31" customWidth="1"/>
    <col min="14590" max="14592" width="10.5703125" style="31" customWidth="1"/>
    <col min="14593" max="14595" width="10.42578125" style="31" customWidth="1"/>
    <col min="14596" max="14596" width="10.5703125" style="31" customWidth="1"/>
    <col min="14597" max="14597" width="10.28515625" style="31" customWidth="1"/>
    <col min="14598" max="14598" width="10.140625" style="31" customWidth="1"/>
    <col min="14599" max="14599" width="11.7109375" style="31" customWidth="1"/>
    <col min="14600" max="14600" width="12.42578125" style="31" customWidth="1"/>
    <col min="14601" max="14601" width="11.7109375" style="31" customWidth="1"/>
    <col min="14602" max="14602" width="13.140625" style="31" customWidth="1"/>
    <col min="14603" max="14838" width="9.140625" style="31"/>
    <col min="14839" max="14839" width="3.7109375" style="31" customWidth="1"/>
    <col min="14840" max="14840" width="30.42578125" style="31" customWidth="1"/>
    <col min="14841" max="14841" width="7.140625" style="31" customWidth="1"/>
    <col min="14842" max="14842" width="10.7109375" style="31" customWidth="1"/>
    <col min="14843" max="14843" width="10.42578125" style="31" customWidth="1"/>
    <col min="14844" max="14844" width="10.5703125" style="31" customWidth="1"/>
    <col min="14845" max="14845" width="10.42578125" style="31" customWidth="1"/>
    <col min="14846" max="14848" width="10.5703125" style="31" customWidth="1"/>
    <col min="14849" max="14851" width="10.42578125" style="31" customWidth="1"/>
    <col min="14852" max="14852" width="10.5703125" style="31" customWidth="1"/>
    <col min="14853" max="14853" width="10.28515625" style="31" customWidth="1"/>
    <col min="14854" max="14854" width="10.140625" style="31" customWidth="1"/>
    <col min="14855" max="14855" width="11.7109375" style="31" customWidth="1"/>
    <col min="14856" max="14856" width="12.42578125" style="31" customWidth="1"/>
    <col min="14857" max="14857" width="11.7109375" style="31" customWidth="1"/>
    <col min="14858" max="14858" width="13.140625" style="31" customWidth="1"/>
    <col min="14859" max="15094" width="9.140625" style="31"/>
    <col min="15095" max="15095" width="3.7109375" style="31" customWidth="1"/>
    <col min="15096" max="15096" width="30.42578125" style="31" customWidth="1"/>
    <col min="15097" max="15097" width="7.140625" style="31" customWidth="1"/>
    <col min="15098" max="15098" width="10.7109375" style="31" customWidth="1"/>
    <col min="15099" max="15099" width="10.42578125" style="31" customWidth="1"/>
    <col min="15100" max="15100" width="10.5703125" style="31" customWidth="1"/>
    <col min="15101" max="15101" width="10.42578125" style="31" customWidth="1"/>
    <col min="15102" max="15104" width="10.5703125" style="31" customWidth="1"/>
    <col min="15105" max="15107" width="10.42578125" style="31" customWidth="1"/>
    <col min="15108" max="15108" width="10.5703125" style="31" customWidth="1"/>
    <col min="15109" max="15109" width="10.28515625" style="31" customWidth="1"/>
    <col min="15110" max="15110" width="10.140625" style="31" customWidth="1"/>
    <col min="15111" max="15111" width="11.7109375" style="31" customWidth="1"/>
    <col min="15112" max="15112" width="12.42578125" style="31" customWidth="1"/>
    <col min="15113" max="15113" width="11.7109375" style="31" customWidth="1"/>
    <col min="15114" max="15114" width="13.140625" style="31" customWidth="1"/>
    <col min="15115" max="15350" width="9.140625" style="31"/>
    <col min="15351" max="15351" width="3.7109375" style="31" customWidth="1"/>
    <col min="15352" max="15352" width="30.42578125" style="31" customWidth="1"/>
    <col min="15353" max="15353" width="7.140625" style="31" customWidth="1"/>
    <col min="15354" max="15354" width="10.7109375" style="31" customWidth="1"/>
    <col min="15355" max="15355" width="10.42578125" style="31" customWidth="1"/>
    <col min="15356" max="15356" width="10.5703125" style="31" customWidth="1"/>
    <col min="15357" max="15357" width="10.42578125" style="31" customWidth="1"/>
    <col min="15358" max="15360" width="10.5703125" style="31" customWidth="1"/>
    <col min="15361" max="15363" width="10.42578125" style="31" customWidth="1"/>
    <col min="15364" max="15364" width="10.5703125" style="31" customWidth="1"/>
    <col min="15365" max="15365" width="10.28515625" style="31" customWidth="1"/>
    <col min="15366" max="15366" width="10.140625" style="31" customWidth="1"/>
    <col min="15367" max="15367" width="11.7109375" style="31" customWidth="1"/>
    <col min="15368" max="15368" width="12.42578125" style="31" customWidth="1"/>
    <col min="15369" max="15369" width="11.7109375" style="31" customWidth="1"/>
    <col min="15370" max="15370" width="13.140625" style="31" customWidth="1"/>
    <col min="15371" max="15606" width="9.140625" style="31"/>
    <col min="15607" max="15607" width="3.7109375" style="31" customWidth="1"/>
    <col min="15608" max="15608" width="30.42578125" style="31" customWidth="1"/>
    <col min="15609" max="15609" width="7.140625" style="31" customWidth="1"/>
    <col min="15610" max="15610" width="10.7109375" style="31" customWidth="1"/>
    <col min="15611" max="15611" width="10.42578125" style="31" customWidth="1"/>
    <col min="15612" max="15612" width="10.5703125" style="31" customWidth="1"/>
    <col min="15613" max="15613" width="10.42578125" style="31" customWidth="1"/>
    <col min="15614" max="15616" width="10.5703125" style="31" customWidth="1"/>
    <col min="15617" max="15619" width="10.42578125" style="31" customWidth="1"/>
    <col min="15620" max="15620" width="10.5703125" style="31" customWidth="1"/>
    <col min="15621" max="15621" width="10.28515625" style="31" customWidth="1"/>
    <col min="15622" max="15622" width="10.140625" style="31" customWidth="1"/>
    <col min="15623" max="15623" width="11.7109375" style="31" customWidth="1"/>
    <col min="15624" max="15624" width="12.42578125" style="31" customWidth="1"/>
    <col min="15625" max="15625" width="11.7109375" style="31" customWidth="1"/>
    <col min="15626" max="15626" width="13.140625" style="31" customWidth="1"/>
    <col min="15627" max="15862" width="9.140625" style="31"/>
    <col min="15863" max="15863" width="3.7109375" style="31" customWidth="1"/>
    <col min="15864" max="15864" width="30.42578125" style="31" customWidth="1"/>
    <col min="15865" max="15865" width="7.140625" style="31" customWidth="1"/>
    <col min="15866" max="15866" width="10.7109375" style="31" customWidth="1"/>
    <col min="15867" max="15867" width="10.42578125" style="31" customWidth="1"/>
    <col min="15868" max="15868" width="10.5703125" style="31" customWidth="1"/>
    <col min="15869" max="15869" width="10.42578125" style="31" customWidth="1"/>
    <col min="15870" max="15872" width="10.5703125" style="31" customWidth="1"/>
    <col min="15873" max="15875" width="10.42578125" style="31" customWidth="1"/>
    <col min="15876" max="15876" width="10.5703125" style="31" customWidth="1"/>
    <col min="15877" max="15877" width="10.28515625" style="31" customWidth="1"/>
    <col min="15878" max="15878" width="10.140625" style="31" customWidth="1"/>
    <col min="15879" max="15879" width="11.7109375" style="31" customWidth="1"/>
    <col min="15880" max="15880" width="12.42578125" style="31" customWidth="1"/>
    <col min="15881" max="15881" width="11.7109375" style="31" customWidth="1"/>
    <col min="15882" max="15882" width="13.140625" style="31" customWidth="1"/>
    <col min="15883" max="16118" width="9.140625" style="31"/>
    <col min="16119" max="16119" width="3.7109375" style="31" customWidth="1"/>
    <col min="16120" max="16120" width="30.42578125" style="31" customWidth="1"/>
    <col min="16121" max="16121" width="7.140625" style="31" customWidth="1"/>
    <col min="16122" max="16122" width="10.7109375" style="31" customWidth="1"/>
    <col min="16123" max="16123" width="10.42578125" style="31" customWidth="1"/>
    <col min="16124" max="16124" width="10.5703125" style="31" customWidth="1"/>
    <col min="16125" max="16125" width="10.42578125" style="31" customWidth="1"/>
    <col min="16126" max="16128" width="10.5703125" style="31" customWidth="1"/>
    <col min="16129" max="16131" width="10.42578125" style="31" customWidth="1"/>
    <col min="16132" max="16132" width="10.5703125" style="31" customWidth="1"/>
    <col min="16133" max="16133" width="10.28515625" style="31" customWidth="1"/>
    <col min="16134" max="16134" width="10.140625" style="31" customWidth="1"/>
    <col min="16135" max="16135" width="11.7109375" style="31" customWidth="1"/>
    <col min="16136" max="16136" width="12.42578125" style="31" customWidth="1"/>
    <col min="16137" max="16137" width="11.7109375" style="31" customWidth="1"/>
    <col min="16138" max="16138" width="13.140625" style="31" customWidth="1"/>
    <col min="16139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228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9" customHeight="1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344" t="s">
        <v>10</v>
      </c>
      <c r="L4" s="344" t="s">
        <v>11</v>
      </c>
      <c r="M4" s="204" t="s">
        <v>12</v>
      </c>
      <c r="N4" s="344" t="s">
        <v>13</v>
      </c>
      <c r="O4" s="205" t="s">
        <v>14</v>
      </c>
      <c r="P4" s="204" t="s">
        <v>15</v>
      </c>
      <c r="Q4" s="6" t="s">
        <v>230</v>
      </c>
      <c r="R4" s="6" t="s">
        <v>231</v>
      </c>
      <c r="S4" s="8" t="s">
        <v>232</v>
      </c>
    </row>
    <row r="5" spans="1:19" s="15" customFormat="1" ht="32.1" customHeight="1">
      <c r="A5" s="10" t="s">
        <v>16</v>
      </c>
      <c r="B5" s="11" t="s">
        <v>229</v>
      </c>
      <c r="C5" s="12">
        <v>31</v>
      </c>
      <c r="D5" s="13">
        <v>189</v>
      </c>
      <c r="E5" s="13">
        <v>209</v>
      </c>
      <c r="F5" s="13">
        <v>186</v>
      </c>
      <c r="G5" s="13">
        <v>160</v>
      </c>
      <c r="H5" s="13">
        <v>174</v>
      </c>
      <c r="I5" s="13">
        <v>101</v>
      </c>
      <c r="J5" s="13">
        <v>127</v>
      </c>
      <c r="K5" s="13">
        <v>68</v>
      </c>
      <c r="L5" s="13">
        <v>54</v>
      </c>
      <c r="M5" s="13">
        <v>141</v>
      </c>
      <c r="N5" s="411" t="s">
        <v>233</v>
      </c>
      <c r="O5" s="13">
        <v>100</v>
      </c>
      <c r="P5" s="13">
        <v>81</v>
      </c>
      <c r="Q5" s="13">
        <v>1590</v>
      </c>
      <c r="R5" s="13">
        <v>1611</v>
      </c>
      <c r="S5" s="389">
        <v>1370</v>
      </c>
    </row>
    <row r="6" spans="1:19" s="21" customFormat="1" ht="20.100000000000001" customHeight="1">
      <c r="A6" s="16"/>
      <c r="B6" s="17" t="s">
        <v>17</v>
      </c>
      <c r="C6" s="18"/>
      <c r="D6" s="13">
        <v>25</v>
      </c>
      <c r="E6" s="13">
        <v>80</v>
      </c>
      <c r="F6" s="13">
        <v>54</v>
      </c>
      <c r="G6" s="13">
        <v>95</v>
      </c>
      <c r="H6" s="13">
        <v>18</v>
      </c>
      <c r="I6" s="13">
        <v>15</v>
      </c>
      <c r="J6" s="13">
        <v>7</v>
      </c>
      <c r="K6" s="13">
        <v>193</v>
      </c>
      <c r="L6" s="13">
        <v>73</v>
      </c>
      <c r="M6" s="13">
        <v>48</v>
      </c>
      <c r="N6" s="13">
        <v>103</v>
      </c>
      <c r="O6" s="13">
        <v>15</v>
      </c>
      <c r="P6" s="411" t="s">
        <v>233</v>
      </c>
      <c r="Q6" s="19">
        <v>726</v>
      </c>
      <c r="R6" s="19">
        <v>672</v>
      </c>
      <c r="S6" s="96">
        <v>602</v>
      </c>
    </row>
    <row r="7" spans="1:19" s="27" customFormat="1" ht="18" customHeight="1">
      <c r="A7" s="22"/>
      <c r="B7" s="23" t="s">
        <v>18</v>
      </c>
      <c r="C7" s="24"/>
      <c r="D7" s="25">
        <v>214</v>
      </c>
      <c r="E7" s="25">
        <v>289</v>
      </c>
      <c r="F7" s="25">
        <v>240</v>
      </c>
      <c r="G7" s="25">
        <v>255</v>
      </c>
      <c r="H7" s="25">
        <v>192</v>
      </c>
      <c r="I7" s="25">
        <v>116</v>
      </c>
      <c r="J7" s="25">
        <v>134</v>
      </c>
      <c r="K7" s="25">
        <v>261</v>
      </c>
      <c r="L7" s="25">
        <v>127</v>
      </c>
      <c r="M7" s="25">
        <v>189</v>
      </c>
      <c r="N7" s="25">
        <v>103</v>
      </c>
      <c r="O7" s="25">
        <v>115</v>
      </c>
      <c r="P7" s="25">
        <v>81</v>
      </c>
      <c r="Q7" s="25">
        <v>2316</v>
      </c>
      <c r="R7" s="25">
        <v>2283</v>
      </c>
      <c r="S7" s="26">
        <v>1972</v>
      </c>
    </row>
    <row r="8" spans="1:19" ht="20.100000000000001" customHeight="1">
      <c r="A8" s="28" t="s">
        <v>19</v>
      </c>
      <c r="B8" s="11" t="s">
        <v>20</v>
      </c>
      <c r="C8" s="29"/>
      <c r="D8" s="13">
        <v>191</v>
      </c>
      <c r="E8" s="13">
        <v>207</v>
      </c>
      <c r="F8" s="13">
        <v>188</v>
      </c>
      <c r="G8" s="13">
        <v>161</v>
      </c>
      <c r="H8" s="13">
        <v>176</v>
      </c>
      <c r="I8" s="13">
        <v>101</v>
      </c>
      <c r="J8" s="13">
        <v>127</v>
      </c>
      <c r="K8" s="13">
        <v>73</v>
      </c>
      <c r="L8" s="13">
        <v>54</v>
      </c>
      <c r="M8" s="13">
        <v>139</v>
      </c>
      <c r="N8" s="13">
        <v>2</v>
      </c>
      <c r="O8" s="13">
        <v>98</v>
      </c>
      <c r="P8" s="13">
        <v>81</v>
      </c>
      <c r="Q8" s="30">
        <v>1598</v>
      </c>
      <c r="R8" s="30">
        <v>1611</v>
      </c>
      <c r="S8" s="171">
        <v>1380</v>
      </c>
    </row>
    <row r="9" spans="1:19" ht="20.100000000000001" customHeight="1">
      <c r="A9" s="16"/>
      <c r="B9" s="17" t="s">
        <v>21</v>
      </c>
      <c r="C9" s="18"/>
      <c r="D9" s="13">
        <v>25</v>
      </c>
      <c r="E9" s="13">
        <v>80</v>
      </c>
      <c r="F9" s="13">
        <v>54</v>
      </c>
      <c r="G9" s="13">
        <v>95</v>
      </c>
      <c r="H9" s="13">
        <v>18</v>
      </c>
      <c r="I9" s="13">
        <v>15</v>
      </c>
      <c r="J9" s="13">
        <v>7</v>
      </c>
      <c r="K9" s="13">
        <v>193</v>
      </c>
      <c r="L9" s="13">
        <v>73</v>
      </c>
      <c r="M9" s="13">
        <v>48</v>
      </c>
      <c r="N9" s="13">
        <v>103</v>
      </c>
      <c r="O9" s="13">
        <v>15</v>
      </c>
      <c r="P9" s="411" t="s">
        <v>233</v>
      </c>
      <c r="Q9" s="13">
        <v>726</v>
      </c>
      <c r="R9" s="13">
        <v>672</v>
      </c>
      <c r="S9" s="58">
        <v>602</v>
      </c>
    </row>
    <row r="10" spans="1:19" s="33" customFormat="1" ht="18" customHeight="1">
      <c r="A10" s="22"/>
      <c r="B10" s="23" t="s">
        <v>22</v>
      </c>
      <c r="C10" s="24"/>
      <c r="D10" s="32">
        <v>216</v>
      </c>
      <c r="E10" s="32">
        <v>287</v>
      </c>
      <c r="F10" s="32">
        <v>242</v>
      </c>
      <c r="G10" s="32">
        <v>256</v>
      </c>
      <c r="H10" s="32">
        <v>194</v>
      </c>
      <c r="I10" s="32">
        <v>116</v>
      </c>
      <c r="J10" s="32">
        <v>134</v>
      </c>
      <c r="K10" s="32">
        <v>266</v>
      </c>
      <c r="L10" s="32">
        <v>127</v>
      </c>
      <c r="M10" s="32">
        <v>187</v>
      </c>
      <c r="N10" s="32">
        <v>105</v>
      </c>
      <c r="O10" s="32">
        <v>113</v>
      </c>
      <c r="P10" s="32">
        <v>81</v>
      </c>
      <c r="Q10" s="32">
        <v>2324</v>
      </c>
      <c r="R10" s="32">
        <v>2283</v>
      </c>
      <c r="S10" s="48">
        <v>1982</v>
      </c>
    </row>
    <row r="11" spans="1:19" s="15" customFormat="1" ht="32.1" customHeight="1">
      <c r="A11" s="10" t="s">
        <v>23</v>
      </c>
      <c r="B11" s="11" t="s">
        <v>24</v>
      </c>
      <c r="C11" s="35"/>
      <c r="D11" s="13">
        <v>86</v>
      </c>
      <c r="E11" s="13">
        <v>88</v>
      </c>
      <c r="F11" s="13">
        <v>81</v>
      </c>
      <c r="G11" s="13">
        <v>76</v>
      </c>
      <c r="H11" s="13">
        <v>78</v>
      </c>
      <c r="I11" s="13">
        <v>50</v>
      </c>
      <c r="J11" s="13">
        <v>69</v>
      </c>
      <c r="K11" s="13">
        <v>31</v>
      </c>
      <c r="L11" s="13">
        <v>35</v>
      </c>
      <c r="M11" s="13">
        <v>64</v>
      </c>
      <c r="N11" s="13">
        <v>2</v>
      </c>
      <c r="O11" s="13">
        <v>42</v>
      </c>
      <c r="P11" s="13">
        <v>28</v>
      </c>
      <c r="Q11" s="36">
        <v>730</v>
      </c>
      <c r="R11" s="36">
        <v>1130</v>
      </c>
      <c r="S11" s="49">
        <v>960</v>
      </c>
    </row>
    <row r="12" spans="1:19" s="21" customFormat="1" ht="20.100000000000001" customHeight="1">
      <c r="A12" s="16"/>
      <c r="B12" s="17" t="s">
        <v>25</v>
      </c>
      <c r="C12" s="18"/>
      <c r="D12" s="13">
        <v>62</v>
      </c>
      <c r="E12" s="13">
        <v>94</v>
      </c>
      <c r="F12" s="13">
        <v>73</v>
      </c>
      <c r="G12" s="13">
        <v>49</v>
      </c>
      <c r="H12" s="13">
        <v>61</v>
      </c>
      <c r="I12" s="13">
        <v>37</v>
      </c>
      <c r="J12" s="13">
        <v>50</v>
      </c>
      <c r="K12" s="13">
        <v>34</v>
      </c>
      <c r="L12" s="13">
        <v>18</v>
      </c>
      <c r="M12" s="13">
        <v>45</v>
      </c>
      <c r="N12" s="411" t="s">
        <v>233</v>
      </c>
      <c r="O12" s="13">
        <v>43</v>
      </c>
      <c r="P12" s="13">
        <v>23</v>
      </c>
      <c r="Q12" s="37">
        <v>589</v>
      </c>
      <c r="R12" s="37">
        <v>162</v>
      </c>
      <c r="S12" s="38">
        <v>28</v>
      </c>
    </row>
    <row r="13" spans="1:19" s="21" customFormat="1" ht="20.100000000000001" customHeight="1">
      <c r="A13" s="16"/>
      <c r="B13" s="34" t="s">
        <v>26</v>
      </c>
      <c r="C13" s="18"/>
      <c r="D13" s="37">
        <v>148</v>
      </c>
      <c r="E13" s="37">
        <v>182</v>
      </c>
      <c r="F13" s="37">
        <v>154</v>
      </c>
      <c r="G13" s="37">
        <v>125</v>
      </c>
      <c r="H13" s="37">
        <v>139</v>
      </c>
      <c r="I13" s="37">
        <v>87</v>
      </c>
      <c r="J13" s="37">
        <v>119</v>
      </c>
      <c r="K13" s="37">
        <v>65</v>
      </c>
      <c r="L13" s="37">
        <v>53</v>
      </c>
      <c r="M13" s="37">
        <v>109</v>
      </c>
      <c r="N13" s="13">
        <v>2</v>
      </c>
      <c r="O13" s="37">
        <v>85</v>
      </c>
      <c r="P13" s="37">
        <v>51</v>
      </c>
      <c r="Q13" s="37">
        <v>1319</v>
      </c>
      <c r="R13" s="37">
        <v>1292</v>
      </c>
      <c r="S13" s="38">
        <v>988</v>
      </c>
    </row>
    <row r="14" spans="1:19" s="21" customFormat="1" ht="20.100000000000001" customHeight="1">
      <c r="A14" s="39"/>
      <c r="B14" s="40" t="s">
        <v>27</v>
      </c>
      <c r="C14" s="41"/>
      <c r="D14" s="42">
        <v>32.460732984293195</v>
      </c>
      <c r="E14" s="42">
        <v>45.410628019323674</v>
      </c>
      <c r="F14" s="42">
        <v>38.829787234042549</v>
      </c>
      <c r="G14" s="42">
        <v>30.434782608695656</v>
      </c>
      <c r="H14" s="42">
        <v>34.659090909090914</v>
      </c>
      <c r="I14" s="42">
        <v>36.633663366336634</v>
      </c>
      <c r="J14" s="42">
        <v>39.370078740157481</v>
      </c>
      <c r="K14" s="42">
        <v>46.575342465753423</v>
      </c>
      <c r="L14" s="42">
        <v>33.333333333333329</v>
      </c>
      <c r="M14" s="42">
        <v>32.374100719424462</v>
      </c>
      <c r="N14" s="411" t="s">
        <v>233</v>
      </c>
      <c r="O14" s="42">
        <v>43.877551020408163</v>
      </c>
      <c r="P14" s="42">
        <v>28.39506172839506</v>
      </c>
      <c r="Q14" s="42">
        <v>36.858573216520654</v>
      </c>
      <c r="R14" s="42">
        <v>10.05586592178771</v>
      </c>
      <c r="S14" s="43">
        <v>2.0299999999999998</v>
      </c>
    </row>
    <row r="15" spans="1:19" s="21" customFormat="1" ht="18" customHeight="1">
      <c r="A15" s="28" t="s">
        <v>28</v>
      </c>
      <c r="B15" s="34" t="s">
        <v>29</v>
      </c>
      <c r="C15" s="29"/>
      <c r="D15" s="13">
        <v>86</v>
      </c>
      <c r="E15" s="13">
        <v>88</v>
      </c>
      <c r="F15" s="13">
        <v>81</v>
      </c>
      <c r="G15" s="13">
        <v>76</v>
      </c>
      <c r="H15" s="13">
        <v>78</v>
      </c>
      <c r="I15" s="13">
        <v>50</v>
      </c>
      <c r="J15" s="13">
        <v>69</v>
      </c>
      <c r="K15" s="13">
        <v>31</v>
      </c>
      <c r="L15" s="44">
        <v>35</v>
      </c>
      <c r="M15" s="13">
        <v>64</v>
      </c>
      <c r="N15" s="13">
        <v>2</v>
      </c>
      <c r="O15" s="13">
        <v>42</v>
      </c>
      <c r="P15" s="13">
        <v>28</v>
      </c>
      <c r="Q15" s="45">
        <v>730</v>
      </c>
      <c r="R15" s="45">
        <v>1130</v>
      </c>
      <c r="S15" s="46">
        <v>960</v>
      </c>
    </row>
    <row r="16" spans="1:19" s="21" customFormat="1" ht="18" customHeight="1">
      <c r="A16" s="16"/>
      <c r="B16" s="17" t="s">
        <v>21</v>
      </c>
      <c r="C16" s="18"/>
      <c r="D16" s="13">
        <v>5</v>
      </c>
      <c r="E16" s="13">
        <v>34</v>
      </c>
      <c r="F16" s="13">
        <v>17</v>
      </c>
      <c r="G16" s="13">
        <v>48</v>
      </c>
      <c r="H16" s="13">
        <v>0</v>
      </c>
      <c r="I16" s="13">
        <v>0</v>
      </c>
      <c r="J16" s="13">
        <v>13</v>
      </c>
      <c r="K16" s="13">
        <v>85</v>
      </c>
      <c r="L16" s="13">
        <v>31</v>
      </c>
      <c r="M16" s="13">
        <v>12</v>
      </c>
      <c r="N16" s="13">
        <v>50</v>
      </c>
      <c r="O16" s="13">
        <v>0</v>
      </c>
      <c r="P16" s="411" t="s">
        <v>233</v>
      </c>
      <c r="Q16" s="37">
        <v>295</v>
      </c>
      <c r="R16" s="37">
        <v>425</v>
      </c>
      <c r="S16" s="38">
        <v>423</v>
      </c>
    </row>
    <row r="17" spans="1:19" s="27" customFormat="1" ht="18" customHeight="1">
      <c r="A17" s="22"/>
      <c r="B17" s="47" t="s">
        <v>30</v>
      </c>
      <c r="C17" s="24"/>
      <c r="D17" s="32">
        <v>91</v>
      </c>
      <c r="E17" s="32">
        <v>122</v>
      </c>
      <c r="F17" s="32">
        <v>98</v>
      </c>
      <c r="G17" s="32">
        <v>124</v>
      </c>
      <c r="H17" s="32">
        <v>78</v>
      </c>
      <c r="I17" s="32">
        <v>50</v>
      </c>
      <c r="J17" s="32">
        <v>82</v>
      </c>
      <c r="K17" s="32">
        <v>116</v>
      </c>
      <c r="L17" s="32">
        <v>66</v>
      </c>
      <c r="M17" s="32">
        <v>76</v>
      </c>
      <c r="N17" s="32">
        <v>52</v>
      </c>
      <c r="O17" s="32">
        <v>42</v>
      </c>
      <c r="P17" s="32">
        <v>28</v>
      </c>
      <c r="Q17" s="32">
        <v>1025</v>
      </c>
      <c r="R17" s="32">
        <v>1555</v>
      </c>
      <c r="S17" s="48">
        <v>1383</v>
      </c>
    </row>
    <row r="18" spans="1:19" s="15" customFormat="1" ht="32.1" customHeight="1">
      <c r="A18" s="10">
        <v>3</v>
      </c>
      <c r="B18" s="11" t="s">
        <v>31</v>
      </c>
      <c r="C18" s="35"/>
      <c r="D18" s="19">
        <v>105</v>
      </c>
      <c r="E18" s="19">
        <v>119</v>
      </c>
      <c r="F18" s="19">
        <v>107</v>
      </c>
      <c r="G18" s="19">
        <v>85</v>
      </c>
      <c r="H18" s="19">
        <v>98</v>
      </c>
      <c r="I18" s="19">
        <v>51</v>
      </c>
      <c r="J18" s="19">
        <v>58</v>
      </c>
      <c r="K18" s="19">
        <v>42</v>
      </c>
      <c r="L18" s="19">
        <v>19</v>
      </c>
      <c r="M18" s="19">
        <v>75</v>
      </c>
      <c r="N18" s="411" t="s">
        <v>233</v>
      </c>
      <c r="O18" s="19">
        <v>56</v>
      </c>
      <c r="P18" s="19">
        <v>53</v>
      </c>
      <c r="Q18" s="19">
        <v>868</v>
      </c>
      <c r="R18" s="19">
        <v>481</v>
      </c>
      <c r="S18" s="96">
        <v>420</v>
      </c>
    </row>
    <row r="19" spans="1:19" s="21" customFormat="1" ht="18" customHeight="1">
      <c r="A19" s="16"/>
      <c r="B19" s="17" t="s">
        <v>21</v>
      </c>
      <c r="C19" s="18"/>
      <c r="D19" s="128">
        <v>20</v>
      </c>
      <c r="E19" s="128">
        <v>46</v>
      </c>
      <c r="F19" s="128">
        <v>37</v>
      </c>
      <c r="G19" s="128">
        <v>47</v>
      </c>
      <c r="H19" s="128">
        <v>18</v>
      </c>
      <c r="I19" s="128">
        <v>15</v>
      </c>
      <c r="J19" s="128">
        <v>-6</v>
      </c>
      <c r="K19" s="128">
        <v>108</v>
      </c>
      <c r="L19" s="128">
        <v>42</v>
      </c>
      <c r="M19" s="128">
        <v>36</v>
      </c>
      <c r="N19" s="128">
        <v>53</v>
      </c>
      <c r="O19" s="128">
        <v>15</v>
      </c>
      <c r="P19" s="411" t="s">
        <v>233</v>
      </c>
      <c r="Q19" s="128">
        <v>431</v>
      </c>
      <c r="R19" s="128">
        <v>247</v>
      </c>
      <c r="S19" s="96">
        <v>179</v>
      </c>
    </row>
    <row r="20" spans="1:19" s="21" customFormat="1" ht="18" customHeight="1">
      <c r="A20" s="16"/>
      <c r="B20" s="50" t="s">
        <v>32</v>
      </c>
      <c r="C20" s="18"/>
      <c r="D20" s="37">
        <v>125</v>
      </c>
      <c r="E20" s="37">
        <v>165</v>
      </c>
      <c r="F20" s="37">
        <v>144</v>
      </c>
      <c r="G20" s="37">
        <v>132</v>
      </c>
      <c r="H20" s="37">
        <v>116</v>
      </c>
      <c r="I20" s="37">
        <v>66</v>
      </c>
      <c r="J20" s="37">
        <v>52</v>
      </c>
      <c r="K20" s="37">
        <v>150</v>
      </c>
      <c r="L20" s="37">
        <v>61</v>
      </c>
      <c r="M20" s="37">
        <v>111</v>
      </c>
      <c r="N20" s="37">
        <v>53</v>
      </c>
      <c r="O20" s="37">
        <v>71</v>
      </c>
      <c r="P20" s="37">
        <v>53</v>
      </c>
      <c r="Q20" s="37">
        <v>1299</v>
      </c>
      <c r="R20" s="37">
        <v>728</v>
      </c>
      <c r="S20" s="38">
        <v>599</v>
      </c>
    </row>
    <row r="21" spans="1:19" s="21" customFormat="1" ht="20.100000000000001" customHeight="1">
      <c r="A21" s="16"/>
      <c r="B21" s="17" t="s">
        <v>33</v>
      </c>
      <c r="C21" s="18"/>
      <c r="D21" s="13">
        <v>43</v>
      </c>
      <c r="E21" s="13">
        <v>25</v>
      </c>
      <c r="F21" s="13">
        <v>34</v>
      </c>
      <c r="G21" s="13">
        <v>36</v>
      </c>
      <c r="H21" s="13">
        <v>38</v>
      </c>
      <c r="I21" s="13">
        <v>15</v>
      </c>
      <c r="J21" s="13">
        <v>7</v>
      </c>
      <c r="K21" s="13">
        <v>7</v>
      </c>
      <c r="L21" s="13">
        <v>2</v>
      </c>
      <c r="M21" s="13">
        <v>30</v>
      </c>
      <c r="N21" s="411" t="s">
        <v>233</v>
      </c>
      <c r="O21" s="13">
        <v>12</v>
      </c>
      <c r="P21" s="13">
        <v>30</v>
      </c>
      <c r="Q21" s="37">
        <v>279</v>
      </c>
      <c r="R21" s="37">
        <v>319</v>
      </c>
      <c r="S21" s="38">
        <v>392</v>
      </c>
    </row>
    <row r="22" spans="1:19" s="15" customFormat="1" ht="20.100000000000001" customHeight="1">
      <c r="A22" s="51"/>
      <c r="B22" s="52" t="s">
        <v>34</v>
      </c>
      <c r="C22" s="53"/>
      <c r="D22" s="42">
        <v>22.513089005235599</v>
      </c>
      <c r="E22" s="42">
        <v>12.077294685990339</v>
      </c>
      <c r="F22" s="42">
        <v>18.085106382978726</v>
      </c>
      <c r="G22" s="42">
        <v>22.36024844720497</v>
      </c>
      <c r="H22" s="42">
        <v>21.59090909090909</v>
      </c>
      <c r="I22" s="42">
        <v>14.85148514851485</v>
      </c>
      <c r="J22" s="42">
        <v>5.5118110236220472</v>
      </c>
      <c r="K22" s="42">
        <v>9.5890410958904102</v>
      </c>
      <c r="L22" s="42">
        <v>3.7037037037037033</v>
      </c>
      <c r="M22" s="42">
        <v>21.582733812949641</v>
      </c>
      <c r="N22" s="412" t="s">
        <v>233</v>
      </c>
      <c r="O22" s="42">
        <v>12.244897959183673</v>
      </c>
      <c r="P22" s="42">
        <v>37.037037037037038</v>
      </c>
      <c r="Q22" s="42">
        <v>17.459324155193993</v>
      </c>
      <c r="R22" s="42">
        <v>19.801365611421478</v>
      </c>
      <c r="S22" s="43">
        <v>28.41</v>
      </c>
    </row>
    <row r="23" spans="1:19" s="57" customFormat="1" ht="32.1" customHeight="1">
      <c r="A23" s="10">
        <v>4</v>
      </c>
      <c r="B23" s="11" t="s">
        <v>207</v>
      </c>
      <c r="C23" s="56"/>
      <c r="D23" s="36">
        <v>139.5</v>
      </c>
      <c r="E23" s="36">
        <v>139</v>
      </c>
      <c r="F23" s="36">
        <v>112.4</v>
      </c>
      <c r="G23" s="36">
        <v>129.5</v>
      </c>
      <c r="H23" s="36">
        <v>114.8</v>
      </c>
      <c r="I23" s="36">
        <v>72.5</v>
      </c>
      <c r="J23" s="36">
        <v>127.7</v>
      </c>
      <c r="K23" s="36">
        <v>19.300000000000011</v>
      </c>
      <c r="L23" s="36">
        <v>34.299999999999997</v>
      </c>
      <c r="M23" s="36">
        <v>78.8</v>
      </c>
      <c r="N23" s="411" t="s">
        <v>233</v>
      </c>
      <c r="O23" s="36">
        <v>54.5</v>
      </c>
      <c r="P23" s="36">
        <v>43</v>
      </c>
      <c r="Q23" s="36">
        <v>1060.5999999999999</v>
      </c>
      <c r="R23" s="36">
        <v>1098.2</v>
      </c>
      <c r="S23" s="49">
        <v>1076</v>
      </c>
    </row>
    <row r="24" spans="1:19" s="57" customFormat="1" ht="20.100000000000001" customHeight="1">
      <c r="A24" s="10"/>
      <c r="B24" s="11" t="s">
        <v>208</v>
      </c>
      <c r="C24" s="56"/>
      <c r="D24" s="36">
        <v>22.5</v>
      </c>
      <c r="E24" s="36">
        <v>72</v>
      </c>
      <c r="F24" s="36">
        <v>48.6</v>
      </c>
      <c r="G24" s="36">
        <v>85.5</v>
      </c>
      <c r="H24" s="36">
        <v>16.2</v>
      </c>
      <c r="I24" s="36">
        <v>13.5</v>
      </c>
      <c r="J24" s="36">
        <v>6.3</v>
      </c>
      <c r="K24" s="36">
        <v>173.7</v>
      </c>
      <c r="L24" s="36">
        <v>65.7</v>
      </c>
      <c r="M24" s="36">
        <v>43.2</v>
      </c>
      <c r="N24" s="36">
        <v>87.7</v>
      </c>
      <c r="O24" s="36">
        <v>13.5</v>
      </c>
      <c r="P24" s="411" t="s">
        <v>233</v>
      </c>
      <c r="Q24" s="36">
        <v>653.4</v>
      </c>
      <c r="R24" s="36">
        <v>605.79999999999995</v>
      </c>
      <c r="S24" s="49">
        <v>542</v>
      </c>
    </row>
    <row r="25" spans="1:19" s="57" customFormat="1" ht="20.100000000000001" customHeight="1">
      <c r="A25" s="10"/>
      <c r="B25" s="11" t="s">
        <v>22</v>
      </c>
      <c r="C25" s="56"/>
      <c r="D25" s="36">
        <v>162</v>
      </c>
      <c r="E25" s="36">
        <v>211</v>
      </c>
      <c r="F25" s="36">
        <v>161</v>
      </c>
      <c r="G25" s="36">
        <v>215</v>
      </c>
      <c r="H25" s="36">
        <v>131</v>
      </c>
      <c r="I25" s="36">
        <v>86</v>
      </c>
      <c r="J25" s="36">
        <v>134</v>
      </c>
      <c r="K25" s="36">
        <v>193</v>
      </c>
      <c r="L25" s="36">
        <v>100</v>
      </c>
      <c r="M25" s="36">
        <v>122</v>
      </c>
      <c r="N25" s="36">
        <v>88</v>
      </c>
      <c r="O25" s="36">
        <v>68</v>
      </c>
      <c r="P25" s="36">
        <v>43</v>
      </c>
      <c r="Q25" s="36">
        <v>1714</v>
      </c>
      <c r="R25" s="36">
        <v>1704</v>
      </c>
      <c r="S25" s="58">
        <v>1618</v>
      </c>
    </row>
    <row r="26" spans="1:19" s="15" customFormat="1" ht="32.1" customHeight="1">
      <c r="A26" s="10">
        <v>5</v>
      </c>
      <c r="B26" s="11" t="s">
        <v>174</v>
      </c>
      <c r="C26" s="35"/>
      <c r="D26" s="13">
        <v>83</v>
      </c>
      <c r="E26" s="13">
        <v>79</v>
      </c>
      <c r="F26" s="13">
        <v>78</v>
      </c>
      <c r="G26" s="13">
        <v>71</v>
      </c>
      <c r="H26" s="13">
        <v>73</v>
      </c>
      <c r="I26" s="13">
        <v>50</v>
      </c>
      <c r="J26" s="13">
        <v>69</v>
      </c>
      <c r="K26" s="13">
        <v>31</v>
      </c>
      <c r="L26" s="13">
        <v>34</v>
      </c>
      <c r="M26" s="13">
        <v>64</v>
      </c>
      <c r="N26" s="411" t="s">
        <v>233</v>
      </c>
      <c r="O26" s="13">
        <v>41</v>
      </c>
      <c r="P26" s="13">
        <v>28</v>
      </c>
      <c r="Q26" s="45">
        <v>703</v>
      </c>
      <c r="R26" s="45">
        <v>1102</v>
      </c>
      <c r="S26" s="46">
        <v>946</v>
      </c>
    </row>
    <row r="27" spans="1:19" s="21" customFormat="1" ht="23.25" customHeight="1">
      <c r="A27" s="16"/>
      <c r="B27" s="17" t="s">
        <v>37</v>
      </c>
      <c r="C27" s="18"/>
      <c r="D27" s="13">
        <v>5</v>
      </c>
      <c r="E27" s="13">
        <v>34</v>
      </c>
      <c r="F27" s="13">
        <v>17</v>
      </c>
      <c r="G27" s="13">
        <v>48</v>
      </c>
      <c r="H27" s="13">
        <v>0</v>
      </c>
      <c r="I27" s="13">
        <v>0</v>
      </c>
      <c r="J27" s="13">
        <v>13</v>
      </c>
      <c r="K27" s="13">
        <v>86</v>
      </c>
      <c r="L27" s="13">
        <v>31</v>
      </c>
      <c r="M27" s="13">
        <v>12</v>
      </c>
      <c r="N27" s="13">
        <v>49</v>
      </c>
      <c r="O27" s="13">
        <v>0</v>
      </c>
      <c r="P27" s="411" t="s">
        <v>233</v>
      </c>
      <c r="Q27" s="45">
        <v>295</v>
      </c>
      <c r="R27" s="37">
        <v>425</v>
      </c>
      <c r="S27" s="38">
        <v>399</v>
      </c>
    </row>
    <row r="28" spans="1:19" s="21" customFormat="1" ht="23.25" customHeight="1">
      <c r="A28" s="39"/>
      <c r="B28" s="40" t="s">
        <v>38</v>
      </c>
      <c r="C28" s="41"/>
      <c r="D28" s="59">
        <v>88</v>
      </c>
      <c r="E28" s="59">
        <v>113</v>
      </c>
      <c r="F28" s="59">
        <v>95</v>
      </c>
      <c r="G28" s="59">
        <v>119</v>
      </c>
      <c r="H28" s="59">
        <v>73</v>
      </c>
      <c r="I28" s="59">
        <v>50</v>
      </c>
      <c r="J28" s="59">
        <v>82</v>
      </c>
      <c r="K28" s="59">
        <v>117</v>
      </c>
      <c r="L28" s="59">
        <v>65</v>
      </c>
      <c r="M28" s="59">
        <v>76</v>
      </c>
      <c r="N28" s="59">
        <v>51</v>
      </c>
      <c r="O28" s="59">
        <v>41</v>
      </c>
      <c r="P28" s="59">
        <v>28</v>
      </c>
      <c r="Q28" s="59">
        <v>998</v>
      </c>
      <c r="R28" s="59">
        <v>1527</v>
      </c>
      <c r="S28" s="60">
        <v>1345</v>
      </c>
    </row>
    <row r="29" spans="1:19" s="27" customFormat="1" ht="28.5" customHeight="1" thickBot="1">
      <c r="A29" s="390">
        <v>6</v>
      </c>
      <c r="B29" s="391" t="s">
        <v>39</v>
      </c>
      <c r="C29" s="392"/>
      <c r="D29" s="393">
        <v>1062413</v>
      </c>
      <c r="E29" s="393">
        <v>1489801</v>
      </c>
      <c r="F29" s="393">
        <v>953470</v>
      </c>
      <c r="G29" s="393">
        <v>1305388</v>
      </c>
      <c r="H29" s="393">
        <v>943823</v>
      </c>
      <c r="I29" s="393">
        <v>503890</v>
      </c>
      <c r="J29" s="393">
        <v>798200</v>
      </c>
      <c r="K29" s="393">
        <v>1452893</v>
      </c>
      <c r="L29" s="393">
        <v>845705</v>
      </c>
      <c r="M29" s="393">
        <v>945113</v>
      </c>
      <c r="N29" s="393">
        <v>634127</v>
      </c>
      <c r="O29" s="393">
        <v>462508</v>
      </c>
      <c r="P29" s="393">
        <v>288486</v>
      </c>
      <c r="Q29" s="196">
        <v>11685817</v>
      </c>
      <c r="R29" s="394">
        <v>10845652</v>
      </c>
      <c r="S29" s="197">
        <v>12065598</v>
      </c>
    </row>
    <row r="30" spans="1:19" s="21" customFormat="1" ht="20.100000000000001" customHeight="1" thickTop="1">
      <c r="A30" s="28">
        <v>7</v>
      </c>
      <c r="B30" s="11" t="s">
        <v>40</v>
      </c>
      <c r="C30" s="29"/>
      <c r="D30" s="13">
        <v>290884</v>
      </c>
      <c r="E30" s="13">
        <v>28702</v>
      </c>
      <c r="F30" s="13">
        <v>251197</v>
      </c>
      <c r="G30" s="13">
        <v>254559</v>
      </c>
      <c r="H30" s="13">
        <v>251428</v>
      </c>
      <c r="I30" s="13">
        <v>190587</v>
      </c>
      <c r="J30" s="13">
        <v>288819</v>
      </c>
      <c r="K30" s="13">
        <v>49596</v>
      </c>
      <c r="L30" s="13">
        <v>7091</v>
      </c>
      <c r="M30" s="13">
        <v>0</v>
      </c>
      <c r="N30" s="411" t="s">
        <v>233</v>
      </c>
      <c r="O30" s="13">
        <v>19513</v>
      </c>
      <c r="P30" s="13">
        <v>43982</v>
      </c>
      <c r="Q30" s="44">
        <v>1676358</v>
      </c>
      <c r="R30" s="44">
        <v>2597528</v>
      </c>
      <c r="S30" s="14">
        <v>4081017</v>
      </c>
    </row>
    <row r="31" spans="1:19" s="21" customFormat="1" ht="20.100000000000001" customHeight="1">
      <c r="A31" s="16"/>
      <c r="B31" s="17" t="s">
        <v>41</v>
      </c>
      <c r="C31" s="18"/>
      <c r="D31" s="13">
        <v>247620</v>
      </c>
      <c r="E31" s="13">
        <v>588882</v>
      </c>
      <c r="F31" s="13">
        <v>208516</v>
      </c>
      <c r="G31" s="13">
        <v>166774</v>
      </c>
      <c r="H31" s="13">
        <v>285488</v>
      </c>
      <c r="I31" s="13">
        <v>105685</v>
      </c>
      <c r="J31" s="13">
        <v>97173</v>
      </c>
      <c r="K31" s="13">
        <v>140575</v>
      </c>
      <c r="L31" s="13">
        <v>268172</v>
      </c>
      <c r="M31" s="13">
        <v>470332</v>
      </c>
      <c r="N31" s="411" t="s">
        <v>233</v>
      </c>
      <c r="O31" s="13">
        <v>243818</v>
      </c>
      <c r="P31" s="13">
        <v>142652</v>
      </c>
      <c r="Q31" s="44">
        <v>2965687</v>
      </c>
      <c r="R31" s="44">
        <v>4181966</v>
      </c>
      <c r="S31" s="14">
        <v>2120009</v>
      </c>
    </row>
    <row r="32" spans="1:19" s="21" customFormat="1" ht="20.100000000000001" customHeight="1">
      <c r="A32" s="16"/>
      <c r="B32" s="17" t="s">
        <v>42</v>
      </c>
      <c r="C32" s="18"/>
      <c r="D32" s="13">
        <v>538504</v>
      </c>
      <c r="E32" s="13">
        <v>617584</v>
      </c>
      <c r="F32" s="13">
        <v>459713</v>
      </c>
      <c r="G32" s="13">
        <v>421333</v>
      </c>
      <c r="H32" s="13">
        <v>536916</v>
      </c>
      <c r="I32" s="13">
        <v>296272</v>
      </c>
      <c r="J32" s="13">
        <v>385992</v>
      </c>
      <c r="K32" s="13">
        <v>190171</v>
      </c>
      <c r="L32" s="13">
        <v>275263</v>
      </c>
      <c r="M32" s="13">
        <v>470332</v>
      </c>
      <c r="N32" s="411" t="s">
        <v>233</v>
      </c>
      <c r="O32" s="13">
        <v>263331</v>
      </c>
      <c r="P32" s="13">
        <v>186634</v>
      </c>
      <c r="Q32" s="63">
        <v>4642045</v>
      </c>
      <c r="R32" s="63">
        <v>6779494</v>
      </c>
      <c r="S32" s="20">
        <v>6201026</v>
      </c>
    </row>
    <row r="33" spans="1:19" s="21" customFormat="1" ht="20.100000000000001" customHeight="1">
      <c r="A33" s="64"/>
      <c r="B33" s="17" t="s">
        <v>43</v>
      </c>
      <c r="C33" s="18"/>
      <c r="D33" s="13">
        <v>35995</v>
      </c>
      <c r="E33" s="13">
        <v>213609</v>
      </c>
      <c r="F33" s="13">
        <v>123561</v>
      </c>
      <c r="G33" s="13">
        <v>314114</v>
      </c>
      <c r="H33" s="411" t="s">
        <v>233</v>
      </c>
      <c r="I33" s="411" t="s">
        <v>233</v>
      </c>
      <c r="J33" s="13">
        <v>87130</v>
      </c>
      <c r="K33" s="13">
        <v>393214</v>
      </c>
      <c r="L33" s="13">
        <v>268201</v>
      </c>
      <c r="M33" s="13">
        <v>84727</v>
      </c>
      <c r="N33" s="13">
        <v>348487</v>
      </c>
      <c r="O33" s="411" t="s">
        <v>233</v>
      </c>
      <c r="P33" s="411" t="s">
        <v>233</v>
      </c>
      <c r="Q33" s="45">
        <v>1869038</v>
      </c>
      <c r="R33" s="45">
        <v>1984639</v>
      </c>
      <c r="S33" s="46">
        <v>2947901</v>
      </c>
    </row>
    <row r="34" spans="1:19" s="21" customFormat="1" ht="20.100000000000001" customHeight="1">
      <c r="A34" s="64"/>
      <c r="B34" s="17" t="s">
        <v>153</v>
      </c>
      <c r="C34" s="18"/>
      <c r="D34" s="411" t="s">
        <v>233</v>
      </c>
      <c r="E34" s="411" t="s">
        <v>233</v>
      </c>
      <c r="F34" s="411" t="s">
        <v>233</v>
      </c>
      <c r="G34" s="411" t="s">
        <v>233</v>
      </c>
      <c r="H34" s="411" t="s">
        <v>233</v>
      </c>
      <c r="I34" s="411" t="s">
        <v>233</v>
      </c>
      <c r="J34" s="411" t="s">
        <v>233</v>
      </c>
      <c r="K34" s="13">
        <v>276209</v>
      </c>
      <c r="L34" s="411" t="s">
        <v>233</v>
      </c>
      <c r="M34" s="411" t="s">
        <v>233</v>
      </c>
      <c r="N34" s="411" t="s">
        <v>233</v>
      </c>
      <c r="O34" s="411" t="s">
        <v>233</v>
      </c>
      <c r="P34" s="411" t="s">
        <v>233</v>
      </c>
      <c r="Q34" s="45">
        <v>276209</v>
      </c>
      <c r="R34" s="45">
        <v>813502</v>
      </c>
      <c r="S34" s="322">
        <v>0</v>
      </c>
    </row>
    <row r="35" spans="1:19" s="21" customFormat="1" ht="20.100000000000001" customHeight="1">
      <c r="A35" s="64"/>
      <c r="B35" s="17" t="s">
        <v>150</v>
      </c>
      <c r="C35" s="18"/>
      <c r="D35" s="13">
        <v>35995</v>
      </c>
      <c r="E35" s="13">
        <v>213609</v>
      </c>
      <c r="F35" s="13">
        <v>123561</v>
      </c>
      <c r="G35" s="13">
        <v>314114</v>
      </c>
      <c r="H35" s="411" t="s">
        <v>233</v>
      </c>
      <c r="I35" s="411" t="s">
        <v>233</v>
      </c>
      <c r="J35" s="13">
        <v>87130</v>
      </c>
      <c r="K35" s="13">
        <v>669423</v>
      </c>
      <c r="L35" s="13">
        <v>268201</v>
      </c>
      <c r="M35" s="13">
        <v>84727</v>
      </c>
      <c r="N35" s="13">
        <v>348487</v>
      </c>
      <c r="O35" s="411" t="s">
        <v>233</v>
      </c>
      <c r="P35" s="411" t="s">
        <v>233</v>
      </c>
      <c r="Q35" s="13">
        <v>2145247</v>
      </c>
      <c r="R35" s="13">
        <v>2798141</v>
      </c>
      <c r="S35" s="395">
        <v>2947901</v>
      </c>
    </row>
    <row r="36" spans="1:19" s="27" customFormat="1" ht="19.5" customHeight="1">
      <c r="A36" s="65"/>
      <c r="B36" s="66" t="s">
        <v>175</v>
      </c>
      <c r="C36" s="67"/>
      <c r="D36" s="68">
        <v>574499</v>
      </c>
      <c r="E36" s="68">
        <v>831193</v>
      </c>
      <c r="F36" s="68">
        <v>583274</v>
      </c>
      <c r="G36" s="68">
        <v>735447</v>
      </c>
      <c r="H36" s="68">
        <v>536916</v>
      </c>
      <c r="I36" s="68">
        <v>296272</v>
      </c>
      <c r="J36" s="68">
        <v>473122</v>
      </c>
      <c r="K36" s="68">
        <v>859594</v>
      </c>
      <c r="L36" s="68">
        <v>543464</v>
      </c>
      <c r="M36" s="68">
        <v>555059</v>
      </c>
      <c r="N36" s="68">
        <v>348487</v>
      </c>
      <c r="O36" s="68">
        <v>263331</v>
      </c>
      <c r="P36" s="68">
        <v>186634</v>
      </c>
      <c r="Q36" s="68">
        <v>6787292</v>
      </c>
      <c r="R36" s="68">
        <v>9577635</v>
      </c>
      <c r="S36" s="69">
        <v>9148927</v>
      </c>
    </row>
    <row r="37" spans="1:19" s="21" customFormat="1" ht="20.100000000000001" customHeight="1">
      <c r="A37" s="28"/>
      <c r="B37" s="11" t="s">
        <v>44</v>
      </c>
      <c r="C37" s="29"/>
      <c r="D37" s="45">
        <v>18532.225806451614</v>
      </c>
      <c r="E37" s="45">
        <v>26812.677419354837</v>
      </c>
      <c r="F37" s="45">
        <v>18815.290322580644</v>
      </c>
      <c r="G37" s="45">
        <v>23724.096774193549</v>
      </c>
      <c r="H37" s="45">
        <v>17319.870967741936</v>
      </c>
      <c r="I37" s="45">
        <v>9557.1612903225814</v>
      </c>
      <c r="J37" s="45">
        <v>15262</v>
      </c>
      <c r="K37" s="45">
        <v>27728.83870967742</v>
      </c>
      <c r="L37" s="45">
        <v>17531.096774193549</v>
      </c>
      <c r="M37" s="45">
        <v>17905.129032258064</v>
      </c>
      <c r="N37" s="45">
        <v>11241.516129032258</v>
      </c>
      <c r="O37" s="45">
        <v>8494.5483870967746</v>
      </c>
      <c r="P37" s="45">
        <v>6020.4516129032254</v>
      </c>
      <c r="Q37" s="45">
        <v>218944.90322580645</v>
      </c>
      <c r="R37" s="45">
        <v>330263.27586206899</v>
      </c>
      <c r="S37" s="46">
        <v>295127</v>
      </c>
    </row>
    <row r="38" spans="1:19" s="21" customFormat="1" ht="20.100000000000001" customHeight="1">
      <c r="A38" s="39"/>
      <c r="B38" s="40" t="s">
        <v>45</v>
      </c>
      <c r="C38" s="41"/>
      <c r="D38" s="107">
        <v>203.65083303792983</v>
      </c>
      <c r="E38" s="107">
        <v>219.77604442094128</v>
      </c>
      <c r="F38" s="107">
        <v>191.99275839368005</v>
      </c>
      <c r="G38" s="107">
        <v>191.32336108220605</v>
      </c>
      <c r="H38" s="107">
        <v>222.04962779156327</v>
      </c>
      <c r="I38" s="107">
        <v>191.14322580645162</v>
      </c>
      <c r="J38" s="107">
        <v>186.1219512195122</v>
      </c>
      <c r="K38" s="107">
        <v>239.04171301446053</v>
      </c>
      <c r="L38" s="107">
        <v>265.62267839687195</v>
      </c>
      <c r="M38" s="107">
        <v>235.59380305602716</v>
      </c>
      <c r="N38" s="107">
        <v>216.18300248138956</v>
      </c>
      <c r="O38" s="107">
        <v>202.25115207373273</v>
      </c>
      <c r="P38" s="107">
        <v>215.01612903225805</v>
      </c>
      <c r="Q38" s="107">
        <v>213.60478363493311</v>
      </c>
      <c r="R38" s="107">
        <v>212.38795875374211</v>
      </c>
      <c r="S38" s="108">
        <v>213.4</v>
      </c>
    </row>
    <row r="39" spans="1:19" s="21" customFormat="1" ht="20.100000000000001" customHeight="1">
      <c r="A39" s="28">
        <v>8</v>
      </c>
      <c r="B39" s="11" t="s">
        <v>46</v>
      </c>
      <c r="C39" s="2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6"/>
    </row>
    <row r="40" spans="1:19" s="21" customFormat="1" ht="20.100000000000001" customHeight="1">
      <c r="A40" s="64"/>
      <c r="B40" s="17" t="s">
        <v>47</v>
      </c>
      <c r="C40" s="18"/>
      <c r="D40" s="13">
        <v>3559</v>
      </c>
      <c r="E40" s="13">
        <v>824</v>
      </c>
      <c r="F40" s="13">
        <v>7436</v>
      </c>
      <c r="G40" s="13">
        <v>10160</v>
      </c>
      <c r="H40" s="13">
        <v>2366</v>
      </c>
      <c r="I40" s="13">
        <v>8146</v>
      </c>
      <c r="J40" s="13">
        <v>3300</v>
      </c>
      <c r="K40" s="13">
        <v>939</v>
      </c>
      <c r="L40" s="13">
        <v>162</v>
      </c>
      <c r="M40" s="411" t="s">
        <v>233</v>
      </c>
      <c r="N40" s="411" t="s">
        <v>233</v>
      </c>
      <c r="O40" s="13">
        <v>423</v>
      </c>
      <c r="P40" s="13">
        <v>1173</v>
      </c>
      <c r="Q40" s="37">
        <v>38488</v>
      </c>
      <c r="R40" s="37">
        <v>59675</v>
      </c>
      <c r="S40" s="38">
        <v>71774</v>
      </c>
    </row>
    <row r="41" spans="1:19" s="21" customFormat="1" ht="20.100000000000001" customHeight="1">
      <c r="A41" s="64"/>
      <c r="B41" s="17" t="s">
        <v>48</v>
      </c>
      <c r="C41" s="18"/>
      <c r="D41" s="13">
        <v>2562</v>
      </c>
      <c r="E41" s="13">
        <v>13289</v>
      </c>
      <c r="F41" s="13">
        <v>8957</v>
      </c>
      <c r="G41" s="13">
        <v>2244</v>
      </c>
      <c r="H41" s="13">
        <v>2894</v>
      </c>
      <c r="I41" s="13">
        <v>520</v>
      </c>
      <c r="J41" s="13">
        <v>4644</v>
      </c>
      <c r="K41" s="13">
        <v>2441</v>
      </c>
      <c r="L41" s="13">
        <v>6818</v>
      </c>
      <c r="M41" s="13">
        <v>7115</v>
      </c>
      <c r="N41" s="411" t="s">
        <v>233</v>
      </c>
      <c r="O41" s="13">
        <v>4266</v>
      </c>
      <c r="P41" s="13">
        <v>4519</v>
      </c>
      <c r="Q41" s="37">
        <v>60269</v>
      </c>
      <c r="R41" s="37">
        <v>88968</v>
      </c>
      <c r="S41" s="38">
        <v>49467</v>
      </c>
    </row>
    <row r="42" spans="1:19" s="21" customFormat="1" ht="20.100000000000001" customHeight="1">
      <c r="A42" s="64"/>
      <c r="B42" s="17" t="s">
        <v>49</v>
      </c>
      <c r="C42" s="67"/>
      <c r="D42" s="75">
        <v>6121</v>
      </c>
      <c r="E42" s="75">
        <v>14113</v>
      </c>
      <c r="F42" s="75">
        <v>16393</v>
      </c>
      <c r="G42" s="75">
        <v>12404</v>
      </c>
      <c r="H42" s="75">
        <v>5260</v>
      </c>
      <c r="I42" s="75">
        <v>8666</v>
      </c>
      <c r="J42" s="75">
        <v>7944</v>
      </c>
      <c r="K42" s="75">
        <v>3380</v>
      </c>
      <c r="L42" s="75">
        <v>6980</v>
      </c>
      <c r="M42" s="75">
        <v>7115</v>
      </c>
      <c r="N42" s="411" t="s">
        <v>233</v>
      </c>
      <c r="O42" s="75">
        <v>4689</v>
      </c>
      <c r="P42" s="75">
        <v>5692</v>
      </c>
      <c r="Q42" s="68">
        <v>98757</v>
      </c>
      <c r="R42" s="68">
        <v>148643</v>
      </c>
      <c r="S42" s="69">
        <v>121241</v>
      </c>
    </row>
    <row r="43" spans="1:19" s="21" customFormat="1" ht="20.100000000000001" customHeight="1">
      <c r="A43" s="16"/>
      <c r="B43" s="17" t="s">
        <v>50</v>
      </c>
      <c r="C43" s="18"/>
      <c r="D43" s="63">
        <v>115</v>
      </c>
      <c r="E43" s="63">
        <v>27</v>
      </c>
      <c r="F43" s="63">
        <v>240</v>
      </c>
      <c r="G43" s="63">
        <v>328</v>
      </c>
      <c r="H43" s="63">
        <v>76</v>
      </c>
      <c r="I43" s="63">
        <v>263</v>
      </c>
      <c r="J43" s="63">
        <v>106</v>
      </c>
      <c r="K43" s="63">
        <v>30</v>
      </c>
      <c r="L43" s="63">
        <v>5</v>
      </c>
      <c r="M43" s="411" t="s">
        <v>233</v>
      </c>
      <c r="N43" s="411" t="s">
        <v>233</v>
      </c>
      <c r="O43" s="63">
        <v>14</v>
      </c>
      <c r="P43" s="63">
        <v>38</v>
      </c>
      <c r="Q43" s="37">
        <v>1241.5483870967741</v>
      </c>
      <c r="R43" s="37">
        <v>2057.7586206896553</v>
      </c>
      <c r="S43" s="38">
        <v>2315</v>
      </c>
    </row>
    <row r="44" spans="1:19" s="21" customFormat="1" ht="20.100000000000001" customHeight="1">
      <c r="A44" s="16"/>
      <c r="B44" s="17" t="s">
        <v>51</v>
      </c>
      <c r="C44" s="18"/>
      <c r="D44" s="37">
        <v>82.645161290322577</v>
      </c>
      <c r="E44" s="37">
        <v>428.67741935483872</v>
      </c>
      <c r="F44" s="37">
        <v>288.93548387096774</v>
      </c>
      <c r="G44" s="37">
        <v>72.387096774193552</v>
      </c>
      <c r="H44" s="37">
        <v>93.354838709677423</v>
      </c>
      <c r="I44" s="37">
        <v>16.774193548387096</v>
      </c>
      <c r="J44" s="37">
        <v>149.80645161290323</v>
      </c>
      <c r="K44" s="37">
        <v>78.741935483870961</v>
      </c>
      <c r="L44" s="37">
        <v>219.93548387096774</v>
      </c>
      <c r="M44" s="37">
        <v>229.51612903225808</v>
      </c>
      <c r="N44" s="411" t="s">
        <v>233</v>
      </c>
      <c r="O44" s="37">
        <v>137.61290322580646</v>
      </c>
      <c r="P44" s="37">
        <v>145.7741935483871</v>
      </c>
      <c r="Q44" s="37">
        <v>1944.1612903225807</v>
      </c>
      <c r="R44" s="37">
        <v>3067.8620689655172</v>
      </c>
      <c r="S44" s="38">
        <v>1596</v>
      </c>
    </row>
    <row r="45" spans="1:19" s="21" customFormat="1" ht="25.5">
      <c r="A45" s="16"/>
      <c r="B45" s="17" t="s">
        <v>52</v>
      </c>
      <c r="C45" s="18"/>
      <c r="D45" s="37">
        <v>197.64516129032256</v>
      </c>
      <c r="E45" s="37">
        <v>455.67741935483872</v>
      </c>
      <c r="F45" s="37">
        <v>528.9354838709678</v>
      </c>
      <c r="G45" s="37">
        <v>400.38709677419354</v>
      </c>
      <c r="H45" s="37">
        <v>169.35483870967744</v>
      </c>
      <c r="I45" s="37">
        <v>279.77419354838707</v>
      </c>
      <c r="J45" s="37">
        <v>255.80645161290323</v>
      </c>
      <c r="K45" s="37">
        <v>108.74193548387096</v>
      </c>
      <c r="L45" s="37">
        <v>224.93548387096774</v>
      </c>
      <c r="M45" s="37">
        <v>229.51612903225808</v>
      </c>
      <c r="N45" s="411" t="s">
        <v>233</v>
      </c>
      <c r="O45" s="37">
        <v>151.61290322580646</v>
      </c>
      <c r="P45" s="37">
        <v>183.7741935483871</v>
      </c>
      <c r="Q45" s="37">
        <v>3185.7096774193546</v>
      </c>
      <c r="R45" s="37">
        <v>5125.6206896551721</v>
      </c>
      <c r="S45" s="38">
        <v>3911</v>
      </c>
    </row>
    <row r="46" spans="1:19" s="21" customFormat="1" ht="20.100000000000001" customHeight="1">
      <c r="A46" s="16"/>
      <c r="B46" s="17" t="s">
        <v>53</v>
      </c>
      <c r="C46" s="18"/>
      <c r="D46" s="13">
        <v>9416</v>
      </c>
      <c r="E46" s="13">
        <v>11728</v>
      </c>
      <c r="F46" s="13">
        <v>10519</v>
      </c>
      <c r="G46" s="13">
        <v>9574</v>
      </c>
      <c r="H46" s="13">
        <v>5238</v>
      </c>
      <c r="I46" s="13">
        <v>4968</v>
      </c>
      <c r="J46" s="13">
        <v>1610</v>
      </c>
      <c r="K46" s="13">
        <v>3556</v>
      </c>
      <c r="L46" s="13">
        <v>2687</v>
      </c>
      <c r="M46" s="13">
        <v>5343</v>
      </c>
      <c r="N46" s="411" t="s">
        <v>233</v>
      </c>
      <c r="O46" s="13">
        <v>1620</v>
      </c>
      <c r="P46" s="13">
        <v>1504</v>
      </c>
      <c r="Q46" s="76">
        <v>67763</v>
      </c>
      <c r="R46" s="76">
        <v>92447</v>
      </c>
      <c r="S46" s="117">
        <v>101151</v>
      </c>
    </row>
    <row r="47" spans="1:19" s="21" customFormat="1" ht="20.100000000000001" customHeight="1">
      <c r="A47" s="77"/>
      <c r="B47" s="78" t="s">
        <v>54</v>
      </c>
      <c r="C47" s="79"/>
      <c r="D47" s="80">
        <v>304</v>
      </c>
      <c r="E47" s="80">
        <v>378</v>
      </c>
      <c r="F47" s="80">
        <v>339</v>
      </c>
      <c r="G47" s="80">
        <v>309</v>
      </c>
      <c r="H47" s="80">
        <v>169</v>
      </c>
      <c r="I47" s="80">
        <v>160</v>
      </c>
      <c r="J47" s="80">
        <v>52</v>
      </c>
      <c r="K47" s="80">
        <v>115</v>
      </c>
      <c r="L47" s="80">
        <v>87</v>
      </c>
      <c r="M47" s="80">
        <v>172</v>
      </c>
      <c r="N47" s="412" t="s">
        <v>233</v>
      </c>
      <c r="O47" s="80">
        <v>52</v>
      </c>
      <c r="P47" s="80">
        <v>49</v>
      </c>
      <c r="Q47" s="59">
        <v>2185.9032258064517</v>
      </c>
      <c r="R47" s="59">
        <v>3187.8275862068967</v>
      </c>
      <c r="S47" s="60">
        <v>3263</v>
      </c>
    </row>
    <row r="48" spans="1:19" ht="20.100000000000001" customHeight="1">
      <c r="A48" s="81">
        <v>9</v>
      </c>
      <c r="B48" s="82" t="s">
        <v>173</v>
      </c>
      <c r="C48" s="83"/>
      <c r="D48" s="13">
        <v>303859</v>
      </c>
      <c r="E48" s="13">
        <v>29526</v>
      </c>
      <c r="F48" s="13">
        <v>268823</v>
      </c>
      <c r="G48" s="13">
        <v>274293</v>
      </c>
      <c r="H48" s="13">
        <v>257835</v>
      </c>
      <c r="I48" s="13">
        <v>203701</v>
      </c>
      <c r="J48" s="13">
        <v>293729</v>
      </c>
      <c r="K48" s="13">
        <v>54031</v>
      </c>
      <c r="L48" s="13">
        <v>7253</v>
      </c>
      <c r="M48" s="411" t="s">
        <v>233</v>
      </c>
      <c r="N48" s="411" t="s">
        <v>233</v>
      </c>
      <c r="O48" s="13">
        <v>20656</v>
      </c>
      <c r="P48" s="13">
        <v>45859</v>
      </c>
      <c r="Q48" s="45">
        <v>1759565</v>
      </c>
      <c r="R48" s="45">
        <v>2719845</v>
      </c>
      <c r="S48" s="46">
        <v>4223394</v>
      </c>
    </row>
    <row r="49" spans="1:19" ht="20.100000000000001" customHeight="1">
      <c r="A49" s="16"/>
      <c r="B49" s="11" t="s">
        <v>56</v>
      </c>
      <c r="C49" s="18"/>
      <c r="D49" s="13">
        <v>250182</v>
      </c>
      <c r="E49" s="13">
        <v>613899</v>
      </c>
      <c r="F49" s="13">
        <v>217802</v>
      </c>
      <c r="G49" s="13">
        <v>169018</v>
      </c>
      <c r="H49" s="13">
        <v>289579</v>
      </c>
      <c r="I49" s="13">
        <v>106205</v>
      </c>
      <c r="J49" s="13">
        <v>101817</v>
      </c>
      <c r="K49" s="13">
        <v>143076</v>
      </c>
      <c r="L49" s="13">
        <v>277677</v>
      </c>
      <c r="M49" s="13">
        <v>482790</v>
      </c>
      <c r="N49" s="411" t="s">
        <v>233</v>
      </c>
      <c r="O49" s="13">
        <v>248984</v>
      </c>
      <c r="P49" s="13">
        <v>147971</v>
      </c>
      <c r="Q49" s="37">
        <v>3049000</v>
      </c>
      <c r="R49" s="37">
        <v>4300739</v>
      </c>
      <c r="S49" s="38">
        <v>2200024</v>
      </c>
    </row>
    <row r="50" spans="1:19" s="57" customFormat="1" ht="20.100000000000001" customHeight="1">
      <c r="A50" s="54"/>
      <c r="B50" s="55" t="s">
        <v>187</v>
      </c>
      <c r="C50" s="56"/>
      <c r="D50" s="84">
        <v>554041</v>
      </c>
      <c r="E50" s="84">
        <v>643425</v>
      </c>
      <c r="F50" s="84">
        <v>486625</v>
      </c>
      <c r="G50" s="84">
        <v>443311</v>
      </c>
      <c r="H50" s="84">
        <v>547414</v>
      </c>
      <c r="I50" s="84">
        <v>309906</v>
      </c>
      <c r="J50" s="84">
        <v>395546</v>
      </c>
      <c r="K50" s="84">
        <v>197107</v>
      </c>
      <c r="L50" s="84">
        <v>284930</v>
      </c>
      <c r="M50" s="84">
        <v>482790</v>
      </c>
      <c r="N50" s="411" t="s">
        <v>233</v>
      </c>
      <c r="O50" s="84">
        <v>269640</v>
      </c>
      <c r="P50" s="84">
        <v>193830</v>
      </c>
      <c r="Q50" s="85">
        <v>4808565</v>
      </c>
      <c r="R50" s="85">
        <v>7020584</v>
      </c>
      <c r="S50" s="172">
        <v>6423418</v>
      </c>
    </row>
    <row r="51" spans="1:19" ht="20.100000000000001" customHeight="1">
      <c r="A51" s="28"/>
      <c r="B51" s="11" t="s">
        <v>58</v>
      </c>
      <c r="C51" s="29"/>
      <c r="D51" s="45">
        <v>9801.9032258064508</v>
      </c>
      <c r="E51" s="45">
        <v>952.45161290322585</v>
      </c>
      <c r="F51" s="45">
        <v>8671.7096774193542</v>
      </c>
      <c r="G51" s="45">
        <v>8848.1612903225814</v>
      </c>
      <c r="H51" s="45">
        <v>8317.2580645161288</v>
      </c>
      <c r="I51" s="45">
        <v>6571</v>
      </c>
      <c r="J51" s="45">
        <v>9475.1290322580644</v>
      </c>
      <c r="K51" s="45">
        <v>1742.9354838709678</v>
      </c>
      <c r="L51" s="45">
        <v>233.96774193548387</v>
      </c>
      <c r="M51" s="411" t="s">
        <v>233</v>
      </c>
      <c r="N51" s="411" t="s">
        <v>233</v>
      </c>
      <c r="O51" s="45">
        <v>666.32258064516134</v>
      </c>
      <c r="P51" s="45">
        <v>1479.3225806451612</v>
      </c>
      <c r="Q51" s="45">
        <v>56760.161290322583</v>
      </c>
      <c r="R51" s="45">
        <v>93787.758620689652</v>
      </c>
      <c r="S51" s="46">
        <v>136239</v>
      </c>
    </row>
    <row r="52" spans="1:19" ht="20.100000000000001" customHeight="1">
      <c r="A52" s="16"/>
      <c r="B52" s="11" t="s">
        <v>59</v>
      </c>
      <c r="C52" s="18"/>
      <c r="D52" s="37">
        <v>8070.3870967741932</v>
      </c>
      <c r="E52" s="37">
        <v>19803.193548387098</v>
      </c>
      <c r="F52" s="37">
        <v>7025.8709677419356</v>
      </c>
      <c r="G52" s="37">
        <v>5452.1935483870966</v>
      </c>
      <c r="H52" s="37">
        <v>9341.2580645161288</v>
      </c>
      <c r="I52" s="37">
        <v>3425.9677419354839</v>
      </c>
      <c r="J52" s="37">
        <v>3284.4193548387098</v>
      </c>
      <c r="K52" s="37">
        <v>4615.3548387096771</v>
      </c>
      <c r="L52" s="37">
        <v>8957.322580645161</v>
      </c>
      <c r="M52" s="37">
        <v>15573.870967741936</v>
      </c>
      <c r="N52" s="411" t="s">
        <v>233</v>
      </c>
      <c r="O52" s="37">
        <v>8031.7419354838712</v>
      </c>
      <c r="P52" s="37">
        <v>4773.2580645161288</v>
      </c>
      <c r="Q52" s="37">
        <v>98354.838709677424</v>
      </c>
      <c r="R52" s="37">
        <v>148301.3448275862</v>
      </c>
      <c r="S52" s="38">
        <v>70969</v>
      </c>
    </row>
    <row r="53" spans="1:19" ht="20.100000000000001" customHeight="1">
      <c r="A53" s="39"/>
      <c r="B53" s="40" t="s">
        <v>60</v>
      </c>
      <c r="C53" s="41"/>
      <c r="D53" s="59">
        <v>17872.290322580644</v>
      </c>
      <c r="E53" s="59">
        <v>20755.645161290326</v>
      </c>
      <c r="F53" s="59">
        <v>15697.58064516129</v>
      </c>
      <c r="G53" s="59">
        <v>14300.354838709678</v>
      </c>
      <c r="H53" s="59">
        <v>17658.516129032258</v>
      </c>
      <c r="I53" s="59">
        <v>9996.9677419354848</v>
      </c>
      <c r="J53" s="59">
        <v>12759.548387096775</v>
      </c>
      <c r="K53" s="59">
        <v>6358.2903225806449</v>
      </c>
      <c r="L53" s="59">
        <v>9191.290322580644</v>
      </c>
      <c r="M53" s="59">
        <v>15573.870967741936</v>
      </c>
      <c r="N53" s="412" t="s">
        <v>233</v>
      </c>
      <c r="O53" s="59">
        <v>8698.0645161290322</v>
      </c>
      <c r="P53" s="59">
        <v>6252.5806451612898</v>
      </c>
      <c r="Q53" s="59">
        <v>155115</v>
      </c>
      <c r="R53" s="59">
        <v>242089.10344827586</v>
      </c>
      <c r="S53" s="60">
        <v>207207</v>
      </c>
    </row>
    <row r="54" spans="1:19" s="33" customFormat="1" ht="20.100000000000001" customHeight="1">
      <c r="A54" s="65">
        <v>10</v>
      </c>
      <c r="B54" s="66" t="s">
        <v>61</v>
      </c>
      <c r="C54" s="86"/>
      <c r="D54" s="45">
        <v>487914</v>
      </c>
      <c r="E54" s="45">
        <v>658608</v>
      </c>
      <c r="F54" s="45">
        <v>370196</v>
      </c>
      <c r="G54" s="45">
        <v>569941</v>
      </c>
      <c r="H54" s="45">
        <v>406907</v>
      </c>
      <c r="I54" s="45">
        <v>207618</v>
      </c>
      <c r="J54" s="45">
        <v>325078</v>
      </c>
      <c r="K54" s="45">
        <v>593299</v>
      </c>
      <c r="L54" s="45">
        <v>302241</v>
      </c>
      <c r="M54" s="45">
        <v>390054</v>
      </c>
      <c r="N54" s="45">
        <v>285640</v>
      </c>
      <c r="O54" s="45">
        <v>199177</v>
      </c>
      <c r="P54" s="45">
        <v>101852</v>
      </c>
      <c r="Q54" s="45">
        <v>4898525</v>
      </c>
      <c r="R54" s="45">
        <v>1268017</v>
      </c>
      <c r="S54" s="46">
        <v>2916671</v>
      </c>
    </row>
    <row r="55" spans="1:19" ht="20.100000000000001" customHeight="1">
      <c r="A55" s="39"/>
      <c r="B55" s="40" t="s">
        <v>62</v>
      </c>
      <c r="C55" s="41"/>
      <c r="D55" s="59">
        <v>15739.161290322581</v>
      </c>
      <c r="E55" s="59">
        <v>21245.419354838708</v>
      </c>
      <c r="F55" s="59">
        <v>11941.806451612903</v>
      </c>
      <c r="G55" s="59">
        <v>18385.193548387098</v>
      </c>
      <c r="H55" s="59">
        <v>13126.032258064517</v>
      </c>
      <c r="I55" s="59">
        <v>6697.3548387096771</v>
      </c>
      <c r="J55" s="59">
        <v>10486.387096774193</v>
      </c>
      <c r="K55" s="59">
        <v>19138.677419354837</v>
      </c>
      <c r="L55" s="59">
        <v>9749.7096774193542</v>
      </c>
      <c r="M55" s="59">
        <v>12582.387096774193</v>
      </c>
      <c r="N55" s="59">
        <v>9214.1935483870966</v>
      </c>
      <c r="O55" s="59">
        <v>6425.0645161290322</v>
      </c>
      <c r="P55" s="59">
        <v>3285.5483870967741</v>
      </c>
      <c r="Q55" s="59">
        <v>158016.93548387097</v>
      </c>
      <c r="R55" s="59">
        <v>43724.724137931036</v>
      </c>
      <c r="S55" s="60">
        <v>94086</v>
      </c>
    </row>
    <row r="56" spans="1:19" s="15" customFormat="1" ht="25.5">
      <c r="A56" s="10">
        <v>11</v>
      </c>
      <c r="B56" s="11" t="s">
        <v>63</v>
      </c>
      <c r="C56" s="35"/>
      <c r="D56" s="36">
        <v>16066406</v>
      </c>
      <c r="E56" s="36">
        <v>23328602</v>
      </c>
      <c r="F56" s="36">
        <v>19178105</v>
      </c>
      <c r="G56" s="36">
        <v>26423011</v>
      </c>
      <c r="H56" s="36">
        <v>17462190</v>
      </c>
      <c r="I56" s="36">
        <v>10030803</v>
      </c>
      <c r="J56" s="36">
        <v>15611248</v>
      </c>
      <c r="K56" s="36">
        <v>22010350</v>
      </c>
      <c r="L56" s="36">
        <v>16058040</v>
      </c>
      <c r="M56" s="36">
        <v>14016245</v>
      </c>
      <c r="N56" s="36">
        <v>13301675</v>
      </c>
      <c r="O56" s="36">
        <v>8621264</v>
      </c>
      <c r="P56" s="36">
        <v>5259539</v>
      </c>
      <c r="Q56" s="87">
        <v>207367478</v>
      </c>
      <c r="R56" s="87">
        <v>360635064</v>
      </c>
      <c r="S56" s="173">
        <v>329867801</v>
      </c>
    </row>
    <row r="57" spans="1:19" s="21" customFormat="1" ht="20.100000000000001" customHeight="1">
      <c r="A57" s="16"/>
      <c r="B57" s="17" t="s">
        <v>64</v>
      </c>
      <c r="C57" s="18"/>
      <c r="D57" s="44">
        <v>518271</v>
      </c>
      <c r="E57" s="44">
        <v>752536</v>
      </c>
      <c r="F57" s="44">
        <v>618649</v>
      </c>
      <c r="G57" s="44">
        <v>852355</v>
      </c>
      <c r="H57" s="44">
        <v>563296</v>
      </c>
      <c r="I57" s="44">
        <v>323574</v>
      </c>
      <c r="J57" s="44">
        <v>503589</v>
      </c>
      <c r="K57" s="44">
        <v>710011</v>
      </c>
      <c r="L57" s="44">
        <v>518001</v>
      </c>
      <c r="M57" s="44">
        <v>452137</v>
      </c>
      <c r="N57" s="44">
        <v>429086</v>
      </c>
      <c r="O57" s="44">
        <v>278105</v>
      </c>
      <c r="P57" s="44">
        <v>169663</v>
      </c>
      <c r="Q57" s="45">
        <v>6689273</v>
      </c>
      <c r="R57" s="45">
        <v>12435693</v>
      </c>
      <c r="S57" s="46">
        <v>10640897</v>
      </c>
    </row>
    <row r="58" spans="1:19" s="15" customFormat="1">
      <c r="A58" s="88"/>
      <c r="B58" s="50" t="s">
        <v>65</v>
      </c>
      <c r="C58" s="89"/>
      <c r="D58" s="90">
        <v>13.749029564895924</v>
      </c>
      <c r="E58" s="90">
        <v>14.91532731910976</v>
      </c>
      <c r="F58" s="90">
        <v>13.140711216539462</v>
      </c>
      <c r="G58" s="90">
        <v>13.016431745643908</v>
      </c>
      <c r="H58" s="90">
        <v>13.404746807749525</v>
      </c>
      <c r="I58" s="90">
        <v>12.45877193309312</v>
      </c>
      <c r="J58" s="90">
        <v>13.477908286820602</v>
      </c>
      <c r="K58" s="90">
        <v>14.820660663976859</v>
      </c>
      <c r="L58" s="90">
        <v>16.173998569745073</v>
      </c>
      <c r="M58" s="90">
        <v>14.368873525181479</v>
      </c>
      <c r="N58" s="90">
        <v>14.751371816653434</v>
      </c>
      <c r="O58" s="90">
        <v>13.378939772498022</v>
      </c>
      <c r="P58" s="90">
        <v>13.520632284666917</v>
      </c>
      <c r="Q58" s="90">
        <v>13.939132025838362</v>
      </c>
      <c r="R58" s="90">
        <v>13.924411894676668</v>
      </c>
      <c r="S58" s="91">
        <v>14</v>
      </c>
    </row>
    <row r="59" spans="1:19" s="21" customFormat="1" ht="25.5">
      <c r="A59" s="77"/>
      <c r="B59" s="78" t="s">
        <v>66</v>
      </c>
      <c r="C59" s="79"/>
      <c r="D59" s="92">
        <v>5695.2857142857147</v>
      </c>
      <c r="E59" s="92">
        <v>6168.3278688524588</v>
      </c>
      <c r="F59" s="92">
        <v>6312.7448979591836</v>
      </c>
      <c r="G59" s="92">
        <v>6873.8306451612907</v>
      </c>
      <c r="H59" s="92">
        <v>7221.7435897435898</v>
      </c>
      <c r="I59" s="92">
        <v>6471.48</v>
      </c>
      <c r="J59" s="92">
        <v>6141.3292682926831</v>
      </c>
      <c r="K59" s="92">
        <v>6120.7844827586205</v>
      </c>
      <c r="L59" s="92">
        <v>7848.5</v>
      </c>
      <c r="M59" s="92">
        <v>5949.1710526315792</v>
      </c>
      <c r="N59" s="92">
        <v>8251.6538461538457</v>
      </c>
      <c r="O59" s="92">
        <v>6621.5476190476193</v>
      </c>
      <c r="P59" s="92">
        <v>6059.3928571428569</v>
      </c>
      <c r="Q59" s="92">
        <v>6526.12</v>
      </c>
      <c r="R59" s="92">
        <v>7997.2302250803859</v>
      </c>
      <c r="S59" s="93">
        <v>7694.07</v>
      </c>
    </row>
    <row r="60" spans="1:19" s="21" customFormat="1" ht="20.100000000000001" customHeight="1" thickBot="1">
      <c r="A60" s="70">
        <v>12</v>
      </c>
      <c r="B60" s="71" t="s">
        <v>67</v>
      </c>
      <c r="C60" s="72"/>
      <c r="D60" s="73">
        <v>27.965942499464752</v>
      </c>
      <c r="E60" s="73">
        <v>28.066408162725143</v>
      </c>
      <c r="F60" s="73">
        <v>32.880095804030354</v>
      </c>
      <c r="G60" s="73">
        <v>35.927824846657884</v>
      </c>
      <c r="H60" s="73">
        <v>32.523132110050732</v>
      </c>
      <c r="I60" s="73">
        <v>33.856736377382944</v>
      </c>
      <c r="J60" s="73">
        <v>32.996241984097125</v>
      </c>
      <c r="K60" s="73">
        <v>25.605518419160674</v>
      </c>
      <c r="L60" s="73">
        <v>29.547568928208676</v>
      </c>
      <c r="M60" s="73">
        <v>25.251811068733232</v>
      </c>
      <c r="N60" s="73">
        <v>38.169788256089895</v>
      </c>
      <c r="O60" s="73">
        <v>32.739267309963509</v>
      </c>
      <c r="P60" s="73">
        <v>28.181033466570934</v>
      </c>
      <c r="Q60" s="73">
        <v>30.552314236664639</v>
      </c>
      <c r="R60" s="73">
        <v>37.653874260190541</v>
      </c>
      <c r="S60" s="74">
        <v>36.06</v>
      </c>
    </row>
    <row r="61" spans="1:19" s="15" customFormat="1" ht="21.75" customHeight="1" thickTop="1">
      <c r="A61" s="10">
        <v>13</v>
      </c>
      <c r="B61" s="11" t="s">
        <v>68</v>
      </c>
      <c r="C61" s="3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58"/>
    </row>
    <row r="62" spans="1:19" s="21" customFormat="1" ht="18" customHeight="1">
      <c r="A62" s="16"/>
      <c r="B62" s="17" t="s">
        <v>69</v>
      </c>
      <c r="C62" s="18"/>
      <c r="D62" s="97">
        <v>41.865183382432264</v>
      </c>
      <c r="E62" s="97">
        <v>42.01558108192387</v>
      </c>
      <c r="F62" s="97">
        <v>49.221700305434659</v>
      </c>
      <c r="G62" s="97">
        <v>53.78416893212259</v>
      </c>
      <c r="H62" s="97">
        <v>48.687323518040024</v>
      </c>
      <c r="I62" s="97">
        <v>50.683737091890634</v>
      </c>
      <c r="J62" s="97">
        <v>49.395571832480726</v>
      </c>
      <c r="K62" s="97">
        <v>38.331614399941131</v>
      </c>
      <c r="L62" s="97">
        <v>44.232887617078859</v>
      </c>
      <c r="M62" s="97">
        <v>37.802112378343161</v>
      </c>
      <c r="N62" s="97">
        <v>57.140401580972899</v>
      </c>
      <c r="O62" s="97">
        <v>49.010879206532195</v>
      </c>
      <c r="P62" s="97">
        <v>42.187175848160081</v>
      </c>
      <c r="Q62" s="97">
        <v>45.736997360276412</v>
      </c>
      <c r="R62" s="97">
        <v>56.099335906124161</v>
      </c>
      <c r="S62" s="98">
        <v>51.62</v>
      </c>
    </row>
    <row r="63" spans="1:19" s="27" customFormat="1" ht="61.5" customHeight="1">
      <c r="A63" s="65"/>
      <c r="B63" s="99" t="s">
        <v>176</v>
      </c>
      <c r="C63" s="67"/>
      <c r="D63" s="100">
        <v>52.979041916167667</v>
      </c>
      <c r="E63" s="100">
        <v>54.505988023952092</v>
      </c>
      <c r="F63" s="100">
        <v>60.044910179640723</v>
      </c>
      <c r="G63" s="100">
        <v>64.595808383233532</v>
      </c>
      <c r="H63" s="100">
        <v>61.182634730538922</v>
      </c>
      <c r="I63" s="100">
        <v>61.631736526946113</v>
      </c>
      <c r="J63" s="100">
        <v>59.745508982035922</v>
      </c>
      <c r="K63" s="100">
        <v>49.161676646706596</v>
      </c>
      <c r="L63" s="100">
        <v>57.709580838323348</v>
      </c>
      <c r="M63" s="100">
        <v>49.146706586826348</v>
      </c>
      <c r="N63" s="100">
        <v>69.640718562874255</v>
      </c>
      <c r="O63" s="100">
        <v>59.805389221556894</v>
      </c>
      <c r="P63" s="100">
        <v>52.919161676646709</v>
      </c>
      <c r="Q63" s="100">
        <v>57.2300307163326</v>
      </c>
      <c r="R63" s="100">
        <v>70.041714676946896</v>
      </c>
      <c r="S63" s="174">
        <v>65.989999999999995</v>
      </c>
    </row>
    <row r="64" spans="1:19" s="21" customFormat="1" ht="32.1" customHeight="1">
      <c r="A64" s="16">
        <v>14</v>
      </c>
      <c r="B64" s="17" t="s">
        <v>193</v>
      </c>
      <c r="C64" s="89"/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3" t="s">
        <v>72</v>
      </c>
      <c r="N64" s="63" t="s">
        <v>72</v>
      </c>
      <c r="O64" s="63" t="s">
        <v>72</v>
      </c>
      <c r="P64" s="63" t="s">
        <v>72</v>
      </c>
      <c r="Q64" s="63">
        <v>83.51</v>
      </c>
      <c r="R64" s="63">
        <v>83.51</v>
      </c>
      <c r="S64" s="20">
        <v>76.98</v>
      </c>
    </row>
    <row r="65" spans="1:19" s="15" customFormat="1" ht="25.5" customHeight="1">
      <c r="A65" s="88">
        <v>15</v>
      </c>
      <c r="B65" s="17" t="s">
        <v>73</v>
      </c>
      <c r="C65" s="89"/>
      <c r="D65" s="90">
        <v>45.026178010471199</v>
      </c>
      <c r="E65" s="90">
        <v>42.512077294685987</v>
      </c>
      <c r="F65" s="90">
        <v>43.085106382978722</v>
      </c>
      <c r="G65" s="90">
        <v>47.204968944099377</v>
      </c>
      <c r="H65" s="90">
        <v>44.31818181818182</v>
      </c>
      <c r="I65" s="90">
        <v>49.504950495049506</v>
      </c>
      <c r="J65" s="90">
        <v>54.330708661417326</v>
      </c>
      <c r="K65" s="90">
        <v>42.465753424657535</v>
      </c>
      <c r="L65" s="90">
        <v>64.81481481481481</v>
      </c>
      <c r="M65" s="90">
        <v>46.043165467625904</v>
      </c>
      <c r="N65" s="411" t="s">
        <v>233</v>
      </c>
      <c r="O65" s="90">
        <v>42.857142857142854</v>
      </c>
      <c r="P65" s="90">
        <v>34.567901234567898</v>
      </c>
      <c r="Q65" s="90">
        <v>45.682102628285357</v>
      </c>
      <c r="R65" s="90">
        <v>70.142768466790812</v>
      </c>
      <c r="S65" s="91">
        <v>69.569999999999993</v>
      </c>
    </row>
    <row r="66" spans="1:19" s="15" customFormat="1" ht="32.1" customHeight="1">
      <c r="A66" s="88">
        <v>16</v>
      </c>
      <c r="B66" s="17" t="s">
        <v>74</v>
      </c>
      <c r="C66" s="89"/>
      <c r="D66" s="90">
        <v>207.81732933233306</v>
      </c>
      <c r="E66" s="90">
        <v>235.85960410557189</v>
      </c>
      <c r="F66" s="90">
        <v>193.79729191557149</v>
      </c>
      <c r="G66" s="90">
        <v>188.1625636672326</v>
      </c>
      <c r="H66" s="90">
        <v>226.39123242349049</v>
      </c>
      <c r="I66" s="90">
        <v>199.9393548387097</v>
      </c>
      <c r="J66" s="90">
        <v>184.92099111734456</v>
      </c>
      <c r="K66" s="90">
        <v>205.10613943808531</v>
      </c>
      <c r="L66" s="90">
        <v>262.60829493087556</v>
      </c>
      <c r="M66" s="90">
        <v>243.34173387096774</v>
      </c>
      <c r="N66" s="411" t="s">
        <v>233</v>
      </c>
      <c r="O66" s="90">
        <v>207.09677419354838</v>
      </c>
      <c r="P66" s="90">
        <v>223.3064516129032</v>
      </c>
      <c r="Q66" s="90">
        <v>212.48630136986301</v>
      </c>
      <c r="R66" s="90">
        <v>214.23814464449191</v>
      </c>
      <c r="S66" s="91">
        <v>215.84</v>
      </c>
    </row>
    <row r="67" spans="1:19" s="21" customFormat="1" ht="32.1" customHeight="1">
      <c r="A67" s="28">
        <v>17</v>
      </c>
      <c r="B67" s="11" t="s">
        <v>75</v>
      </c>
      <c r="C67" s="35"/>
      <c r="D67" s="36">
        <v>37695.096774193546</v>
      </c>
      <c r="E67" s="36">
        <v>50453.870967741932</v>
      </c>
      <c r="F67" s="36">
        <v>47078.806451612902</v>
      </c>
      <c r="G67" s="36">
        <v>65483</v>
      </c>
      <c r="H67" s="36">
        <v>42022.129032258068</v>
      </c>
      <c r="I67" s="36">
        <v>25971.580645161292</v>
      </c>
      <c r="J67" s="36">
        <v>37364.032258064515</v>
      </c>
      <c r="K67" s="36">
        <v>47906.838709677417</v>
      </c>
      <c r="L67" s="36">
        <v>32026.774193548386</v>
      </c>
      <c r="M67" s="36">
        <v>31466.419354838708</v>
      </c>
      <c r="N67" s="36">
        <v>29087.870967741936</v>
      </c>
      <c r="O67" s="36">
        <v>20786.774193548386</v>
      </c>
      <c r="P67" s="36">
        <v>12548.451612903225</v>
      </c>
      <c r="Q67" s="45">
        <v>479891.64516129025</v>
      </c>
      <c r="R67" s="45">
        <v>893085.68965517252</v>
      </c>
      <c r="S67" s="46">
        <v>760165</v>
      </c>
    </row>
    <row r="68" spans="1:19" s="15" customFormat="1" ht="20.100000000000001" customHeight="1">
      <c r="A68" s="51"/>
      <c r="B68" s="40" t="s">
        <v>76</v>
      </c>
      <c r="C68" s="53"/>
      <c r="D68" s="59">
        <v>414.23183268344553</v>
      </c>
      <c r="E68" s="59">
        <v>413.55631940772076</v>
      </c>
      <c r="F68" s="59">
        <v>480.39598420013164</v>
      </c>
      <c r="G68" s="59">
        <v>528.08870967741939</v>
      </c>
      <c r="H68" s="59">
        <v>538.74524400330858</v>
      </c>
      <c r="I68" s="59">
        <v>519.43161290322587</v>
      </c>
      <c r="J68" s="59">
        <v>455.65892997639651</v>
      </c>
      <c r="K68" s="59">
        <v>412.98998887652948</v>
      </c>
      <c r="L68" s="59">
        <v>485.25415444770283</v>
      </c>
      <c r="M68" s="59">
        <v>414.0318336162988</v>
      </c>
      <c r="N68" s="59">
        <v>559.38213399503718</v>
      </c>
      <c r="O68" s="59">
        <v>494.92319508448537</v>
      </c>
      <c r="P68" s="59">
        <v>448.15898617511522</v>
      </c>
      <c r="Q68" s="59">
        <v>468.18697088906367</v>
      </c>
      <c r="R68" s="59">
        <v>574.33163321876043</v>
      </c>
      <c r="S68" s="60">
        <v>550</v>
      </c>
    </row>
    <row r="69" spans="1:19" s="21" customFormat="1" ht="25.5">
      <c r="A69" s="28">
        <v>18</v>
      </c>
      <c r="B69" s="11" t="s">
        <v>77</v>
      </c>
      <c r="C69" s="35"/>
      <c r="D69" s="44" t="s">
        <v>72</v>
      </c>
      <c r="E69" s="44" t="s">
        <v>72</v>
      </c>
      <c r="F69" s="44" t="s">
        <v>72</v>
      </c>
      <c r="G69" s="44" t="s">
        <v>72</v>
      </c>
      <c r="H69" s="44" t="s">
        <v>72</v>
      </c>
      <c r="I69" s="44" t="s">
        <v>72</v>
      </c>
      <c r="J69" s="44" t="s">
        <v>72</v>
      </c>
      <c r="K69" s="44" t="s">
        <v>72</v>
      </c>
      <c r="L69" s="44" t="s">
        <v>72</v>
      </c>
      <c r="M69" s="44" t="s">
        <v>72</v>
      </c>
      <c r="N69" s="44" t="s">
        <v>72</v>
      </c>
      <c r="O69" s="44" t="s">
        <v>72</v>
      </c>
      <c r="P69" s="44" t="s">
        <v>72</v>
      </c>
      <c r="Q69" s="44">
        <v>453500</v>
      </c>
      <c r="R69" s="44">
        <v>679300</v>
      </c>
      <c r="S69" s="14">
        <v>576200</v>
      </c>
    </row>
    <row r="70" spans="1:19" s="15" customFormat="1" ht="20.100000000000001" customHeight="1">
      <c r="A70" s="10">
        <v>19</v>
      </c>
      <c r="B70" s="11" t="s">
        <v>78</v>
      </c>
      <c r="C70" s="35"/>
      <c r="D70" s="13" t="s">
        <v>72</v>
      </c>
      <c r="E70" s="13" t="s">
        <v>72</v>
      </c>
      <c r="F70" s="13" t="s">
        <v>72</v>
      </c>
      <c r="G70" s="13" t="s">
        <v>72</v>
      </c>
      <c r="H70" s="13" t="s">
        <v>72</v>
      </c>
      <c r="I70" s="13" t="s">
        <v>72</v>
      </c>
      <c r="J70" s="13" t="s">
        <v>72</v>
      </c>
      <c r="K70" s="13" t="s">
        <v>72</v>
      </c>
      <c r="L70" s="13" t="s">
        <v>72</v>
      </c>
      <c r="M70" s="13" t="s">
        <v>72</v>
      </c>
      <c r="N70" s="13" t="s">
        <v>72</v>
      </c>
      <c r="O70" s="13" t="s">
        <v>72</v>
      </c>
      <c r="P70" s="13" t="s">
        <v>72</v>
      </c>
      <c r="Q70" s="13">
        <v>1</v>
      </c>
      <c r="R70" s="13">
        <v>15</v>
      </c>
      <c r="S70" s="58">
        <v>5</v>
      </c>
    </row>
    <row r="71" spans="1:19" s="15" customFormat="1" ht="20.100000000000001" customHeight="1">
      <c r="A71" s="51"/>
      <c r="B71" s="40" t="s">
        <v>79</v>
      </c>
      <c r="C71" s="53"/>
      <c r="D71" s="105" t="s">
        <v>72</v>
      </c>
      <c r="E71" s="105" t="s">
        <v>72</v>
      </c>
      <c r="F71" s="105" t="s">
        <v>72</v>
      </c>
      <c r="G71" s="105" t="s">
        <v>72</v>
      </c>
      <c r="H71" s="105" t="s">
        <v>72</v>
      </c>
      <c r="I71" s="105" t="s">
        <v>72</v>
      </c>
      <c r="J71" s="105" t="s">
        <v>72</v>
      </c>
      <c r="K71" s="105" t="s">
        <v>72</v>
      </c>
      <c r="L71" s="105" t="s">
        <v>72</v>
      </c>
      <c r="M71" s="105" t="s">
        <v>72</v>
      </c>
      <c r="N71" s="105" t="s">
        <v>72</v>
      </c>
      <c r="O71" s="105" t="s">
        <v>72</v>
      </c>
      <c r="P71" s="105" t="s">
        <v>72</v>
      </c>
      <c r="Q71" s="105">
        <v>12</v>
      </c>
      <c r="R71" s="105">
        <v>302</v>
      </c>
      <c r="S71" s="106">
        <v>22</v>
      </c>
    </row>
    <row r="72" spans="1:19" s="15" customFormat="1" ht="25.5">
      <c r="A72" s="10">
        <v>20</v>
      </c>
      <c r="B72" s="11" t="s">
        <v>80</v>
      </c>
      <c r="C72" s="35"/>
      <c r="D72" s="13" t="s">
        <v>72</v>
      </c>
      <c r="E72" s="13" t="s">
        <v>72</v>
      </c>
      <c r="F72" s="13" t="s">
        <v>72</v>
      </c>
      <c r="G72" s="13" t="s">
        <v>72</v>
      </c>
      <c r="H72" s="13" t="s">
        <v>72</v>
      </c>
      <c r="I72" s="13" t="s">
        <v>72</v>
      </c>
      <c r="J72" s="13" t="s">
        <v>72</v>
      </c>
      <c r="K72" s="13" t="s">
        <v>72</v>
      </c>
      <c r="L72" s="13" t="s">
        <v>72</v>
      </c>
      <c r="M72" s="13" t="s">
        <v>72</v>
      </c>
      <c r="N72" s="13" t="s">
        <v>72</v>
      </c>
      <c r="O72" s="13" t="s">
        <v>72</v>
      </c>
      <c r="P72" s="13" t="s">
        <v>72</v>
      </c>
      <c r="Q72" s="13">
        <v>16242</v>
      </c>
      <c r="R72" s="13">
        <v>35944</v>
      </c>
      <c r="S72" s="58">
        <v>26108</v>
      </c>
    </row>
    <row r="73" spans="1:19" s="21" customFormat="1" ht="25.5">
      <c r="A73" s="16"/>
      <c r="B73" s="17" t="s">
        <v>177</v>
      </c>
      <c r="C73" s="89"/>
      <c r="D73" s="63" t="s">
        <v>72</v>
      </c>
      <c r="E73" s="63" t="s">
        <v>72</v>
      </c>
      <c r="F73" s="63" t="s">
        <v>72</v>
      </c>
      <c r="G73" s="63" t="s">
        <v>72</v>
      </c>
      <c r="H73" s="63" t="s">
        <v>72</v>
      </c>
      <c r="I73" s="63" t="s">
        <v>72</v>
      </c>
      <c r="J73" s="63" t="s">
        <v>72</v>
      </c>
      <c r="K73" s="63" t="s">
        <v>72</v>
      </c>
      <c r="L73" s="63" t="s">
        <v>72</v>
      </c>
      <c r="M73" s="63" t="s">
        <v>72</v>
      </c>
      <c r="N73" s="63" t="s">
        <v>72</v>
      </c>
      <c r="O73" s="63" t="s">
        <v>72</v>
      </c>
      <c r="P73" s="63" t="s">
        <v>72</v>
      </c>
      <c r="Q73" s="63">
        <v>11214000</v>
      </c>
      <c r="R73" s="63">
        <v>24669150</v>
      </c>
      <c r="S73" s="20">
        <v>18260800</v>
      </c>
    </row>
    <row r="74" spans="1:19" s="21" customFormat="1" ht="25.5">
      <c r="A74" s="39"/>
      <c r="B74" s="40" t="s">
        <v>82</v>
      </c>
      <c r="C74" s="53"/>
      <c r="D74" s="80" t="s">
        <v>72</v>
      </c>
      <c r="E74" s="80" t="s">
        <v>72</v>
      </c>
      <c r="F74" s="80" t="s">
        <v>72</v>
      </c>
      <c r="G74" s="80" t="s">
        <v>72</v>
      </c>
      <c r="H74" s="80" t="s">
        <v>72</v>
      </c>
      <c r="I74" s="80" t="s">
        <v>72</v>
      </c>
      <c r="J74" s="80" t="s">
        <v>72</v>
      </c>
      <c r="K74" s="80" t="s">
        <v>72</v>
      </c>
      <c r="L74" s="80" t="s">
        <v>72</v>
      </c>
      <c r="M74" s="80" t="s">
        <v>72</v>
      </c>
      <c r="N74" s="80" t="s">
        <v>72</v>
      </c>
      <c r="O74" s="80" t="s">
        <v>72</v>
      </c>
      <c r="P74" s="80" t="s">
        <v>72</v>
      </c>
      <c r="Q74" s="107">
        <v>1.6522053272498074</v>
      </c>
      <c r="R74" s="107">
        <v>2.5757037097362763</v>
      </c>
      <c r="S74" s="108">
        <v>2</v>
      </c>
    </row>
    <row r="75" spans="1:19" s="21" customFormat="1" ht="28.5" customHeight="1">
      <c r="A75" s="28">
        <v>21</v>
      </c>
      <c r="B75" s="11" t="s">
        <v>83</v>
      </c>
      <c r="C75" s="35"/>
      <c r="D75" s="44" t="s">
        <v>72</v>
      </c>
      <c r="E75" s="44" t="s">
        <v>72</v>
      </c>
      <c r="F75" s="44" t="s">
        <v>72</v>
      </c>
      <c r="G75" s="44" t="s">
        <v>72</v>
      </c>
      <c r="H75" s="44" t="s">
        <v>72</v>
      </c>
      <c r="I75" s="44" t="s">
        <v>72</v>
      </c>
      <c r="J75" s="44" t="s">
        <v>72</v>
      </c>
      <c r="K75" s="44" t="s">
        <v>72</v>
      </c>
      <c r="L75" s="44" t="s">
        <v>72</v>
      </c>
      <c r="M75" s="44" t="s">
        <v>72</v>
      </c>
      <c r="N75" s="44" t="s">
        <v>72</v>
      </c>
      <c r="O75" s="44" t="s">
        <v>72</v>
      </c>
      <c r="P75" s="44" t="s">
        <v>72</v>
      </c>
      <c r="Q75" s="44">
        <v>305155</v>
      </c>
      <c r="R75" s="44">
        <v>553339</v>
      </c>
      <c r="S75" s="14">
        <v>506807</v>
      </c>
    </row>
    <row r="76" spans="1:19" ht="31.5" customHeight="1">
      <c r="A76" s="16"/>
      <c r="B76" s="17" t="s">
        <v>84</v>
      </c>
      <c r="C76" s="89">
        <v>72724</v>
      </c>
      <c r="D76" s="63" t="s">
        <v>72</v>
      </c>
      <c r="E76" s="63" t="s">
        <v>72</v>
      </c>
      <c r="F76" s="63" t="s">
        <v>72</v>
      </c>
      <c r="G76" s="63" t="s">
        <v>72</v>
      </c>
      <c r="H76" s="63" t="s">
        <v>72</v>
      </c>
      <c r="I76" s="63" t="s">
        <v>72</v>
      </c>
      <c r="J76" s="63" t="s">
        <v>72</v>
      </c>
      <c r="K76" s="63" t="s">
        <v>72</v>
      </c>
      <c r="L76" s="63" t="s">
        <v>72</v>
      </c>
      <c r="M76" s="63" t="s">
        <v>72</v>
      </c>
      <c r="N76" s="63" t="s">
        <v>72</v>
      </c>
      <c r="O76" s="63" t="s">
        <v>72</v>
      </c>
      <c r="P76" s="63" t="s">
        <v>72</v>
      </c>
      <c r="Q76" s="63" t="s">
        <v>72</v>
      </c>
      <c r="R76" s="63" t="s">
        <v>72</v>
      </c>
      <c r="S76" s="20" t="s">
        <v>72</v>
      </c>
    </row>
    <row r="77" spans="1:19" ht="18.75" customHeight="1">
      <c r="A77" s="16"/>
      <c r="B77" s="17" t="s">
        <v>85</v>
      </c>
      <c r="C77" s="89">
        <v>210720</v>
      </c>
      <c r="D77" s="63" t="s">
        <v>72</v>
      </c>
      <c r="E77" s="63" t="s">
        <v>72</v>
      </c>
      <c r="F77" s="63" t="s">
        <v>72</v>
      </c>
      <c r="G77" s="63" t="s">
        <v>72</v>
      </c>
      <c r="H77" s="63" t="s">
        <v>72</v>
      </c>
      <c r="I77" s="63" t="s">
        <v>72</v>
      </c>
      <c r="J77" s="63" t="s">
        <v>72</v>
      </c>
      <c r="K77" s="63" t="s">
        <v>72</v>
      </c>
      <c r="L77" s="63" t="s">
        <v>72</v>
      </c>
      <c r="M77" s="63" t="s">
        <v>72</v>
      </c>
      <c r="N77" s="63" t="s">
        <v>72</v>
      </c>
      <c r="O77" s="63" t="s">
        <v>72</v>
      </c>
      <c r="P77" s="63" t="s">
        <v>72</v>
      </c>
      <c r="Q77" s="63" t="s">
        <v>72</v>
      </c>
      <c r="R77" s="63" t="s">
        <v>72</v>
      </c>
      <c r="S77" s="20" t="s">
        <v>72</v>
      </c>
    </row>
    <row r="78" spans="1:19" ht="29.25" customHeight="1">
      <c r="A78" s="16"/>
      <c r="B78" s="17" t="s">
        <v>86</v>
      </c>
      <c r="C78" s="89">
        <v>6326</v>
      </c>
      <c r="D78" s="63" t="s">
        <v>72</v>
      </c>
      <c r="E78" s="63" t="s">
        <v>72</v>
      </c>
      <c r="F78" s="63" t="s">
        <v>72</v>
      </c>
      <c r="G78" s="63" t="s">
        <v>72</v>
      </c>
      <c r="H78" s="63" t="s">
        <v>72</v>
      </c>
      <c r="I78" s="63" t="s">
        <v>72</v>
      </c>
      <c r="J78" s="63" t="s">
        <v>72</v>
      </c>
      <c r="K78" s="63" t="s">
        <v>72</v>
      </c>
      <c r="L78" s="63" t="s">
        <v>72</v>
      </c>
      <c r="M78" s="63" t="s">
        <v>72</v>
      </c>
      <c r="N78" s="63" t="s">
        <v>72</v>
      </c>
      <c r="O78" s="63" t="s">
        <v>72</v>
      </c>
      <c r="P78" s="63" t="s">
        <v>72</v>
      </c>
      <c r="Q78" s="63" t="s">
        <v>72</v>
      </c>
      <c r="R78" s="63" t="s">
        <v>72</v>
      </c>
      <c r="S78" s="20" t="s">
        <v>72</v>
      </c>
    </row>
    <row r="79" spans="1:19" ht="20.100000000000001" customHeight="1">
      <c r="A79" s="16"/>
      <c r="B79" s="50" t="s">
        <v>87</v>
      </c>
      <c r="C79" s="89">
        <v>925</v>
      </c>
      <c r="D79" s="63" t="s">
        <v>72</v>
      </c>
      <c r="E79" s="63" t="s">
        <v>72</v>
      </c>
      <c r="F79" s="63" t="s">
        <v>72</v>
      </c>
      <c r="G79" s="63" t="s">
        <v>72</v>
      </c>
      <c r="H79" s="63" t="s">
        <v>72</v>
      </c>
      <c r="I79" s="63" t="s">
        <v>72</v>
      </c>
      <c r="J79" s="63" t="s">
        <v>72</v>
      </c>
      <c r="K79" s="63" t="s">
        <v>72</v>
      </c>
      <c r="L79" s="63" t="s">
        <v>72</v>
      </c>
      <c r="M79" s="63" t="s">
        <v>72</v>
      </c>
      <c r="N79" s="63" t="s">
        <v>72</v>
      </c>
      <c r="O79" s="63" t="s">
        <v>72</v>
      </c>
      <c r="P79" s="63" t="s">
        <v>72</v>
      </c>
      <c r="Q79" s="63" t="s">
        <v>72</v>
      </c>
      <c r="R79" s="63" t="s">
        <v>72</v>
      </c>
      <c r="S79" s="20" t="s">
        <v>72</v>
      </c>
    </row>
    <row r="80" spans="1:19" ht="25.5">
      <c r="A80" s="28"/>
      <c r="B80" s="11" t="s">
        <v>88</v>
      </c>
      <c r="C80" s="89">
        <v>9982</v>
      </c>
      <c r="D80" s="44" t="s">
        <v>72</v>
      </c>
      <c r="E80" s="44" t="s">
        <v>72</v>
      </c>
      <c r="F80" s="44" t="s">
        <v>72</v>
      </c>
      <c r="G80" s="44" t="s">
        <v>72</v>
      </c>
      <c r="H80" s="44" t="s">
        <v>72</v>
      </c>
      <c r="I80" s="44" t="s">
        <v>72</v>
      </c>
      <c r="J80" s="44" t="s">
        <v>72</v>
      </c>
      <c r="K80" s="44" t="s">
        <v>72</v>
      </c>
      <c r="L80" s="44" t="s">
        <v>72</v>
      </c>
      <c r="M80" s="44" t="s">
        <v>72</v>
      </c>
      <c r="N80" s="44" t="s">
        <v>72</v>
      </c>
      <c r="O80" s="44" t="s">
        <v>72</v>
      </c>
      <c r="P80" s="44" t="s">
        <v>72</v>
      </c>
      <c r="Q80" s="44" t="s">
        <v>72</v>
      </c>
      <c r="R80" s="44" t="s">
        <v>72</v>
      </c>
      <c r="S80" s="14" t="s">
        <v>72</v>
      </c>
    </row>
    <row r="81" spans="1:19" ht="20.100000000000001" customHeight="1">
      <c r="A81" s="28"/>
      <c r="B81" s="11" t="s">
        <v>89</v>
      </c>
      <c r="C81" s="89">
        <v>433</v>
      </c>
      <c r="D81" s="44" t="s">
        <v>72</v>
      </c>
      <c r="E81" s="44" t="s">
        <v>72</v>
      </c>
      <c r="F81" s="44" t="s">
        <v>72</v>
      </c>
      <c r="G81" s="44" t="s">
        <v>72</v>
      </c>
      <c r="H81" s="44" t="s">
        <v>72</v>
      </c>
      <c r="I81" s="44" t="s">
        <v>72</v>
      </c>
      <c r="J81" s="44" t="s">
        <v>72</v>
      </c>
      <c r="K81" s="44" t="s">
        <v>72</v>
      </c>
      <c r="L81" s="44" t="s">
        <v>72</v>
      </c>
      <c r="M81" s="44" t="s">
        <v>72</v>
      </c>
      <c r="N81" s="44" t="s">
        <v>72</v>
      </c>
      <c r="O81" s="44" t="s">
        <v>72</v>
      </c>
      <c r="P81" s="44" t="s">
        <v>72</v>
      </c>
      <c r="Q81" s="44" t="s">
        <v>72</v>
      </c>
      <c r="R81" s="44" t="s">
        <v>72</v>
      </c>
      <c r="S81" s="14" t="s">
        <v>72</v>
      </c>
    </row>
    <row r="82" spans="1:19" ht="20.100000000000001" customHeight="1">
      <c r="A82" s="28"/>
      <c r="B82" s="11" t="s">
        <v>90</v>
      </c>
      <c r="C82" s="89">
        <v>4045</v>
      </c>
      <c r="D82" s="44" t="s">
        <v>72</v>
      </c>
      <c r="E82" s="44" t="s">
        <v>72</v>
      </c>
      <c r="F82" s="44" t="s">
        <v>72</v>
      </c>
      <c r="G82" s="44" t="s">
        <v>72</v>
      </c>
      <c r="H82" s="44" t="s">
        <v>72</v>
      </c>
      <c r="I82" s="44" t="s">
        <v>72</v>
      </c>
      <c r="J82" s="44" t="s">
        <v>72</v>
      </c>
      <c r="K82" s="44" t="s">
        <v>72</v>
      </c>
      <c r="L82" s="44" t="s">
        <v>72</v>
      </c>
      <c r="M82" s="44" t="s">
        <v>72</v>
      </c>
      <c r="N82" s="44" t="s">
        <v>72</v>
      </c>
      <c r="O82" s="44" t="s">
        <v>72</v>
      </c>
      <c r="P82" s="44" t="s">
        <v>72</v>
      </c>
      <c r="Q82" s="44" t="s">
        <v>72</v>
      </c>
      <c r="R82" s="44" t="s">
        <v>72</v>
      </c>
      <c r="S82" s="14" t="s">
        <v>72</v>
      </c>
    </row>
    <row r="83" spans="1:19" s="21" customFormat="1" ht="25.5">
      <c r="A83" s="16"/>
      <c r="B83" s="17" t="s">
        <v>91</v>
      </c>
      <c r="C83" s="109"/>
      <c r="D83" s="63" t="s">
        <v>72</v>
      </c>
      <c r="E83" s="63" t="s">
        <v>72</v>
      </c>
      <c r="F83" s="63" t="s">
        <v>72</v>
      </c>
      <c r="G83" s="63" t="s">
        <v>72</v>
      </c>
      <c r="H83" s="63" t="s">
        <v>72</v>
      </c>
      <c r="I83" s="63" t="s">
        <v>72</v>
      </c>
      <c r="J83" s="63" t="s">
        <v>72</v>
      </c>
      <c r="K83" s="63" t="s">
        <v>72</v>
      </c>
      <c r="L83" s="63" t="s">
        <v>72</v>
      </c>
      <c r="M83" s="63" t="s">
        <v>72</v>
      </c>
      <c r="N83" s="63" t="s">
        <v>72</v>
      </c>
      <c r="O83" s="63" t="s">
        <v>72</v>
      </c>
      <c r="P83" s="63" t="s">
        <v>72</v>
      </c>
      <c r="Q83" s="45">
        <v>38304460</v>
      </c>
      <c r="R83" s="45">
        <v>63647340</v>
      </c>
      <c r="S83" s="46">
        <v>59324050</v>
      </c>
    </row>
    <row r="84" spans="1:19" s="21" customFormat="1" ht="33.75" customHeight="1" thickBot="1">
      <c r="A84" s="70"/>
      <c r="B84" s="71" t="s">
        <v>92</v>
      </c>
      <c r="C84" s="396"/>
      <c r="D84" s="124" t="s">
        <v>72</v>
      </c>
      <c r="E84" s="124" t="s">
        <v>72</v>
      </c>
      <c r="F84" s="124" t="s">
        <v>72</v>
      </c>
      <c r="G84" s="124" t="s">
        <v>72</v>
      </c>
      <c r="H84" s="124" t="s">
        <v>72</v>
      </c>
      <c r="I84" s="124" t="s">
        <v>72</v>
      </c>
      <c r="J84" s="124" t="s">
        <v>72</v>
      </c>
      <c r="K84" s="124" t="s">
        <v>72</v>
      </c>
      <c r="L84" s="124" t="s">
        <v>72</v>
      </c>
      <c r="M84" s="124" t="s">
        <v>72</v>
      </c>
      <c r="N84" s="124" t="s">
        <v>72</v>
      </c>
      <c r="O84" s="124" t="s">
        <v>72</v>
      </c>
      <c r="P84" s="124" t="s">
        <v>72</v>
      </c>
      <c r="Q84" s="73">
        <v>5.6435556330860672</v>
      </c>
      <c r="R84" s="73">
        <v>6.6454129855648079</v>
      </c>
      <c r="S84" s="74">
        <v>6.48</v>
      </c>
    </row>
    <row r="85" spans="1:19" s="21" customFormat="1" ht="15.95" customHeight="1" thickTop="1">
      <c r="A85" s="28" t="s">
        <v>93</v>
      </c>
      <c r="B85" s="11" t="s">
        <v>94</v>
      </c>
      <c r="C85" s="397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127"/>
      <c r="R85" s="127"/>
      <c r="S85" s="46"/>
    </row>
    <row r="86" spans="1:19" s="21" customFormat="1" ht="15.95" customHeight="1">
      <c r="A86" s="16"/>
      <c r="B86" s="17" t="s">
        <v>95</v>
      </c>
      <c r="C86" s="115"/>
      <c r="D86" s="63" t="s">
        <v>72</v>
      </c>
      <c r="E86" s="63" t="s">
        <v>72</v>
      </c>
      <c r="F86" s="63" t="s">
        <v>72</v>
      </c>
      <c r="G86" s="63" t="s">
        <v>72</v>
      </c>
      <c r="H86" s="63" t="s">
        <v>72</v>
      </c>
      <c r="I86" s="63" t="s">
        <v>72</v>
      </c>
      <c r="J86" s="63" t="s">
        <v>72</v>
      </c>
      <c r="K86" s="63" t="s">
        <v>72</v>
      </c>
      <c r="L86" s="63" t="s">
        <v>72</v>
      </c>
      <c r="M86" s="63" t="s">
        <v>72</v>
      </c>
      <c r="N86" s="63" t="s">
        <v>72</v>
      </c>
      <c r="O86" s="63" t="s">
        <v>72</v>
      </c>
      <c r="P86" s="63" t="s">
        <v>72</v>
      </c>
      <c r="Q86" s="63">
        <v>1</v>
      </c>
      <c r="R86" s="63">
        <v>2</v>
      </c>
      <c r="S86" s="20">
        <v>1</v>
      </c>
    </row>
    <row r="87" spans="1:19" s="21" customFormat="1" ht="15.95" customHeight="1">
      <c r="A87" s="16"/>
      <c r="B87" s="17" t="s">
        <v>96</v>
      </c>
      <c r="C87" s="115"/>
      <c r="D87" s="63" t="s">
        <v>72</v>
      </c>
      <c r="E87" s="63" t="s">
        <v>72</v>
      </c>
      <c r="F87" s="63" t="s">
        <v>72</v>
      </c>
      <c r="G87" s="63" t="s">
        <v>72</v>
      </c>
      <c r="H87" s="63" t="s">
        <v>72</v>
      </c>
      <c r="I87" s="63" t="s">
        <v>72</v>
      </c>
      <c r="J87" s="63" t="s">
        <v>72</v>
      </c>
      <c r="K87" s="63" t="s">
        <v>72</v>
      </c>
      <c r="L87" s="63" t="s">
        <v>72</v>
      </c>
      <c r="M87" s="63" t="s">
        <v>72</v>
      </c>
      <c r="N87" s="63" t="s">
        <v>72</v>
      </c>
      <c r="O87" s="63" t="s">
        <v>72</v>
      </c>
      <c r="P87" s="63" t="s">
        <v>72</v>
      </c>
      <c r="Q87" s="63">
        <v>0</v>
      </c>
      <c r="R87" s="63">
        <v>2</v>
      </c>
      <c r="S87" s="20">
        <v>0</v>
      </c>
    </row>
    <row r="88" spans="1:19" s="21" customFormat="1" ht="15.95" customHeight="1">
      <c r="A88" s="16"/>
      <c r="B88" s="17" t="s">
        <v>97</v>
      </c>
      <c r="C88" s="115"/>
      <c r="D88" s="63" t="s">
        <v>72</v>
      </c>
      <c r="E88" s="63" t="s">
        <v>72</v>
      </c>
      <c r="F88" s="63" t="s">
        <v>72</v>
      </c>
      <c r="G88" s="63" t="s">
        <v>72</v>
      </c>
      <c r="H88" s="63" t="s">
        <v>72</v>
      </c>
      <c r="I88" s="63" t="s">
        <v>72</v>
      </c>
      <c r="J88" s="63" t="s">
        <v>72</v>
      </c>
      <c r="K88" s="63" t="s">
        <v>72</v>
      </c>
      <c r="L88" s="63" t="s">
        <v>72</v>
      </c>
      <c r="M88" s="63" t="s">
        <v>72</v>
      </c>
      <c r="N88" s="63" t="s">
        <v>72</v>
      </c>
      <c r="O88" s="63" t="s">
        <v>72</v>
      </c>
      <c r="P88" s="63" t="s">
        <v>72</v>
      </c>
      <c r="Q88" s="63">
        <v>1</v>
      </c>
      <c r="R88" s="63">
        <v>0</v>
      </c>
      <c r="S88" s="20">
        <v>4</v>
      </c>
    </row>
    <row r="89" spans="1:19" s="21" customFormat="1" ht="15.95" customHeight="1">
      <c r="A89" s="16"/>
      <c r="B89" s="17" t="s">
        <v>98</v>
      </c>
      <c r="C89" s="115"/>
      <c r="D89" s="63" t="s">
        <v>72</v>
      </c>
      <c r="E89" s="63" t="s">
        <v>72</v>
      </c>
      <c r="F89" s="63" t="s">
        <v>72</v>
      </c>
      <c r="G89" s="63" t="s">
        <v>72</v>
      </c>
      <c r="H89" s="63" t="s">
        <v>72</v>
      </c>
      <c r="I89" s="63" t="s">
        <v>72</v>
      </c>
      <c r="J89" s="63" t="s">
        <v>72</v>
      </c>
      <c r="K89" s="63" t="s">
        <v>72</v>
      </c>
      <c r="L89" s="63" t="s">
        <v>72</v>
      </c>
      <c r="M89" s="63" t="s">
        <v>72</v>
      </c>
      <c r="N89" s="63" t="s">
        <v>72</v>
      </c>
      <c r="O89" s="63" t="s">
        <v>72</v>
      </c>
      <c r="P89" s="63" t="s">
        <v>72</v>
      </c>
      <c r="Q89" s="63">
        <v>4</v>
      </c>
      <c r="R89" s="63">
        <v>3</v>
      </c>
      <c r="S89" s="20">
        <v>0</v>
      </c>
    </row>
    <row r="90" spans="1:19" s="21" customFormat="1" ht="15.95" customHeight="1">
      <c r="A90" s="16"/>
      <c r="B90" s="17" t="s">
        <v>99</v>
      </c>
      <c r="C90" s="115"/>
      <c r="D90" s="63" t="s">
        <v>72</v>
      </c>
      <c r="E90" s="63" t="s">
        <v>72</v>
      </c>
      <c r="F90" s="63" t="s">
        <v>72</v>
      </c>
      <c r="G90" s="63" t="s">
        <v>72</v>
      </c>
      <c r="H90" s="63" t="s">
        <v>72</v>
      </c>
      <c r="I90" s="63" t="s">
        <v>72</v>
      </c>
      <c r="J90" s="63" t="s">
        <v>72</v>
      </c>
      <c r="K90" s="63" t="s">
        <v>72</v>
      </c>
      <c r="L90" s="63" t="s">
        <v>72</v>
      </c>
      <c r="M90" s="63" t="s">
        <v>72</v>
      </c>
      <c r="N90" s="63" t="s">
        <v>72</v>
      </c>
      <c r="O90" s="63" t="s">
        <v>72</v>
      </c>
      <c r="P90" s="63" t="s">
        <v>72</v>
      </c>
      <c r="Q90" s="63">
        <v>6</v>
      </c>
      <c r="R90" s="63">
        <v>7</v>
      </c>
      <c r="S90" s="20">
        <v>5</v>
      </c>
    </row>
    <row r="91" spans="1:19" s="21" customFormat="1" ht="25.5">
      <c r="A91" s="39"/>
      <c r="B91" s="40" t="s">
        <v>100</v>
      </c>
      <c r="C91" s="118"/>
      <c r="D91" s="80" t="s">
        <v>72</v>
      </c>
      <c r="E91" s="80" t="s">
        <v>72</v>
      </c>
      <c r="F91" s="80" t="s">
        <v>72</v>
      </c>
      <c r="G91" s="80" t="s">
        <v>72</v>
      </c>
      <c r="H91" s="80" t="s">
        <v>72</v>
      </c>
      <c r="I91" s="80" t="s">
        <v>72</v>
      </c>
      <c r="J91" s="80" t="s">
        <v>72</v>
      </c>
      <c r="K91" s="80" t="s">
        <v>72</v>
      </c>
      <c r="L91" s="80" t="s">
        <v>72</v>
      </c>
      <c r="M91" s="80" t="s">
        <v>72</v>
      </c>
      <c r="N91" s="80" t="s">
        <v>72</v>
      </c>
      <c r="O91" s="80" t="s">
        <v>72</v>
      </c>
      <c r="P91" s="80" t="s">
        <v>72</v>
      </c>
      <c r="Q91" s="107">
        <v>0.12477735041535259</v>
      </c>
      <c r="R91" s="107">
        <v>9.9706805017930125E-2</v>
      </c>
      <c r="S91" s="108">
        <v>0.08</v>
      </c>
    </row>
    <row r="92" spans="1:19" s="21" customFormat="1" ht="18" customHeight="1">
      <c r="A92" s="119" t="s">
        <v>19</v>
      </c>
      <c r="B92" s="11" t="s">
        <v>101</v>
      </c>
      <c r="C92" s="112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1"/>
      <c r="R92" s="121"/>
      <c r="S92" s="134"/>
    </row>
    <row r="93" spans="1:19" s="21" customFormat="1" ht="15.95" customHeight="1">
      <c r="A93" s="119"/>
      <c r="B93" s="17" t="s">
        <v>95</v>
      </c>
      <c r="C93" s="115"/>
      <c r="D93" s="63" t="s">
        <v>72</v>
      </c>
      <c r="E93" s="63" t="s">
        <v>72</v>
      </c>
      <c r="F93" s="63" t="s">
        <v>72</v>
      </c>
      <c r="G93" s="63" t="s">
        <v>72</v>
      </c>
      <c r="H93" s="63" t="s">
        <v>72</v>
      </c>
      <c r="I93" s="63" t="s">
        <v>72</v>
      </c>
      <c r="J93" s="63" t="s">
        <v>72</v>
      </c>
      <c r="K93" s="63" t="s">
        <v>72</v>
      </c>
      <c r="L93" s="63" t="s">
        <v>72</v>
      </c>
      <c r="M93" s="63" t="s">
        <v>72</v>
      </c>
      <c r="N93" s="63" t="s">
        <v>72</v>
      </c>
      <c r="O93" s="63" t="s">
        <v>72</v>
      </c>
      <c r="P93" s="63" t="s">
        <v>72</v>
      </c>
      <c r="Q93" s="63">
        <v>1</v>
      </c>
      <c r="R93" s="63">
        <v>0</v>
      </c>
      <c r="S93" s="20">
        <v>0</v>
      </c>
    </row>
    <row r="94" spans="1:19" s="21" customFormat="1" ht="15.95" customHeight="1">
      <c r="A94" s="119"/>
      <c r="B94" s="17" t="s">
        <v>96</v>
      </c>
      <c r="C94" s="115"/>
      <c r="D94" s="63" t="s">
        <v>72</v>
      </c>
      <c r="E94" s="63" t="s">
        <v>72</v>
      </c>
      <c r="F94" s="63" t="s">
        <v>72</v>
      </c>
      <c r="G94" s="63" t="s">
        <v>72</v>
      </c>
      <c r="H94" s="63" t="s">
        <v>72</v>
      </c>
      <c r="I94" s="63" t="s">
        <v>72</v>
      </c>
      <c r="J94" s="63" t="s">
        <v>72</v>
      </c>
      <c r="K94" s="63" t="s">
        <v>72</v>
      </c>
      <c r="L94" s="63" t="s">
        <v>72</v>
      </c>
      <c r="M94" s="63" t="s">
        <v>72</v>
      </c>
      <c r="N94" s="63" t="s">
        <v>72</v>
      </c>
      <c r="O94" s="63" t="s">
        <v>72</v>
      </c>
      <c r="P94" s="63" t="s">
        <v>72</v>
      </c>
      <c r="Q94" s="63">
        <v>0</v>
      </c>
      <c r="R94" s="63">
        <v>2</v>
      </c>
      <c r="S94" s="20">
        <v>1</v>
      </c>
    </row>
    <row r="95" spans="1:19" s="21" customFormat="1" ht="15.95" customHeight="1">
      <c r="A95" s="119"/>
      <c r="B95" s="17" t="s">
        <v>97</v>
      </c>
      <c r="C95" s="115"/>
      <c r="D95" s="63" t="s">
        <v>72</v>
      </c>
      <c r="E95" s="63" t="s">
        <v>72</v>
      </c>
      <c r="F95" s="63" t="s">
        <v>72</v>
      </c>
      <c r="G95" s="63" t="s">
        <v>72</v>
      </c>
      <c r="H95" s="63" t="s">
        <v>72</v>
      </c>
      <c r="I95" s="63" t="s">
        <v>72</v>
      </c>
      <c r="J95" s="63" t="s">
        <v>72</v>
      </c>
      <c r="K95" s="63" t="s">
        <v>72</v>
      </c>
      <c r="L95" s="63" t="s">
        <v>72</v>
      </c>
      <c r="M95" s="63" t="s">
        <v>72</v>
      </c>
      <c r="N95" s="63" t="s">
        <v>72</v>
      </c>
      <c r="O95" s="63" t="s">
        <v>72</v>
      </c>
      <c r="P95" s="63" t="s">
        <v>72</v>
      </c>
      <c r="Q95" s="63">
        <v>0</v>
      </c>
      <c r="R95" s="63">
        <v>0</v>
      </c>
      <c r="S95" s="20">
        <v>3</v>
      </c>
    </row>
    <row r="96" spans="1:19" s="21" customFormat="1" ht="15.95" customHeight="1">
      <c r="A96" s="119"/>
      <c r="B96" s="17" t="s">
        <v>98</v>
      </c>
      <c r="C96" s="115"/>
      <c r="D96" s="63" t="s">
        <v>72</v>
      </c>
      <c r="E96" s="63" t="s">
        <v>72</v>
      </c>
      <c r="F96" s="63" t="s">
        <v>72</v>
      </c>
      <c r="G96" s="63" t="s">
        <v>72</v>
      </c>
      <c r="H96" s="63" t="s">
        <v>72</v>
      </c>
      <c r="I96" s="63" t="s">
        <v>72</v>
      </c>
      <c r="J96" s="63" t="s">
        <v>72</v>
      </c>
      <c r="K96" s="63" t="s">
        <v>72</v>
      </c>
      <c r="L96" s="63" t="s">
        <v>72</v>
      </c>
      <c r="M96" s="63" t="s">
        <v>72</v>
      </c>
      <c r="N96" s="63" t="s">
        <v>72</v>
      </c>
      <c r="O96" s="63" t="s">
        <v>72</v>
      </c>
      <c r="P96" s="63" t="s">
        <v>72</v>
      </c>
      <c r="Q96" s="63">
        <v>1</v>
      </c>
      <c r="R96" s="63">
        <v>1</v>
      </c>
      <c r="S96" s="20">
        <v>0</v>
      </c>
    </row>
    <row r="97" spans="1:19" s="21" customFormat="1" ht="15.95" customHeight="1">
      <c r="A97" s="119"/>
      <c r="B97" s="78" t="s">
        <v>99</v>
      </c>
      <c r="C97" s="122"/>
      <c r="D97" s="111" t="s">
        <v>72</v>
      </c>
      <c r="E97" s="111" t="s">
        <v>72</v>
      </c>
      <c r="F97" s="111" t="s">
        <v>72</v>
      </c>
      <c r="G97" s="111" t="s">
        <v>72</v>
      </c>
      <c r="H97" s="111" t="s">
        <v>72</v>
      </c>
      <c r="I97" s="111" t="s">
        <v>72</v>
      </c>
      <c r="J97" s="111" t="s">
        <v>72</v>
      </c>
      <c r="K97" s="111" t="s">
        <v>72</v>
      </c>
      <c r="L97" s="111" t="s">
        <v>72</v>
      </c>
      <c r="M97" s="111" t="s">
        <v>72</v>
      </c>
      <c r="N97" s="111" t="s">
        <v>72</v>
      </c>
      <c r="O97" s="111" t="s">
        <v>72</v>
      </c>
      <c r="P97" s="111" t="s">
        <v>72</v>
      </c>
      <c r="Q97" s="111">
        <v>2</v>
      </c>
      <c r="R97" s="111">
        <v>3</v>
      </c>
      <c r="S97" s="177">
        <v>4</v>
      </c>
    </row>
    <row r="98" spans="1:19" s="21" customFormat="1" ht="26.25" thickBot="1">
      <c r="A98" s="70"/>
      <c r="B98" s="71" t="s">
        <v>100</v>
      </c>
      <c r="C98" s="123"/>
      <c r="D98" s="124" t="s">
        <v>72</v>
      </c>
      <c r="E98" s="124" t="s">
        <v>72</v>
      </c>
      <c r="F98" s="124" t="s">
        <v>72</v>
      </c>
      <c r="G98" s="124" t="s">
        <v>72</v>
      </c>
      <c r="H98" s="124" t="s">
        <v>72</v>
      </c>
      <c r="I98" s="124" t="s">
        <v>72</v>
      </c>
      <c r="J98" s="124" t="s">
        <v>72</v>
      </c>
      <c r="K98" s="124" t="s">
        <v>72</v>
      </c>
      <c r="L98" s="124" t="s">
        <v>72</v>
      </c>
      <c r="M98" s="124" t="s">
        <v>72</v>
      </c>
      <c r="N98" s="124" t="s">
        <v>72</v>
      </c>
      <c r="O98" s="124" t="s">
        <v>72</v>
      </c>
      <c r="P98" s="124" t="s">
        <v>72</v>
      </c>
      <c r="Q98" s="73">
        <v>9.3229357738293078E-2</v>
      </c>
      <c r="R98" s="73">
        <v>0.10721403960701052</v>
      </c>
      <c r="S98" s="74">
        <v>0.14000000000000001</v>
      </c>
    </row>
    <row r="99" spans="1:19" s="21" customFormat="1" ht="20.100000000000001" customHeight="1" thickTop="1">
      <c r="A99" s="28"/>
      <c r="B99" s="125" t="s">
        <v>102</v>
      </c>
      <c r="C99" s="126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127"/>
      <c r="R99" s="127"/>
      <c r="S99" s="14"/>
    </row>
    <row r="100" spans="1:19" s="21" customFormat="1" ht="18" customHeight="1">
      <c r="A100" s="16">
        <v>23</v>
      </c>
      <c r="B100" s="17" t="s">
        <v>103</v>
      </c>
      <c r="C100" s="128"/>
      <c r="D100" s="13">
        <v>95</v>
      </c>
      <c r="E100" s="13">
        <v>52</v>
      </c>
      <c r="F100" s="13">
        <v>37</v>
      </c>
      <c r="G100" s="13">
        <v>28</v>
      </c>
      <c r="H100" s="13">
        <v>40</v>
      </c>
      <c r="I100" s="13">
        <v>29</v>
      </c>
      <c r="J100" s="13">
        <v>34</v>
      </c>
      <c r="K100" s="13">
        <v>2</v>
      </c>
      <c r="L100" s="13">
        <v>3</v>
      </c>
      <c r="M100" s="13">
        <v>52</v>
      </c>
      <c r="N100" s="411" t="s">
        <v>233</v>
      </c>
      <c r="O100" s="13">
        <v>22</v>
      </c>
      <c r="P100" s="13">
        <v>23</v>
      </c>
      <c r="Q100" s="19">
        <v>417</v>
      </c>
      <c r="R100" s="19">
        <v>644</v>
      </c>
      <c r="S100" s="96">
        <v>916</v>
      </c>
    </row>
    <row r="101" spans="1:19" s="15" customFormat="1" ht="18" customHeight="1">
      <c r="A101" s="51">
        <v>24</v>
      </c>
      <c r="B101" s="40" t="s">
        <v>104</v>
      </c>
      <c r="C101" s="129"/>
      <c r="D101" s="42">
        <v>1.7146745457466144</v>
      </c>
      <c r="E101" s="42">
        <v>0.80817500097136419</v>
      </c>
      <c r="F101" s="42">
        <v>0.76033907012586699</v>
      </c>
      <c r="G101" s="42">
        <v>0.63161076535434502</v>
      </c>
      <c r="H101" s="42">
        <v>0.73070838524407489</v>
      </c>
      <c r="I101" s="42">
        <v>0.93576761985892498</v>
      </c>
      <c r="J101" s="42">
        <v>0.85957132672306125</v>
      </c>
      <c r="K101" s="42">
        <v>0.1014677307249362</v>
      </c>
      <c r="L101" s="42">
        <v>0.10528901835538554</v>
      </c>
      <c r="M101" s="42">
        <v>1.0770728474077755</v>
      </c>
      <c r="N101" s="412" t="s">
        <v>233</v>
      </c>
      <c r="O101" s="42">
        <v>0.81590268506156349</v>
      </c>
      <c r="P101" s="42">
        <v>1.1866068204096374</v>
      </c>
      <c r="Q101" s="42">
        <v>0.86720258538670059</v>
      </c>
      <c r="R101" s="42">
        <v>0.91730260616495729</v>
      </c>
      <c r="S101" s="43">
        <v>1.43</v>
      </c>
    </row>
    <row r="102" spans="1:19" s="130" customFormat="1" ht="26.1" customHeight="1">
      <c r="A102" s="10">
        <v>25</v>
      </c>
      <c r="B102" s="11" t="s">
        <v>105</v>
      </c>
      <c r="C102" s="126"/>
      <c r="D102" s="13">
        <v>83744</v>
      </c>
      <c r="E102" s="13">
        <v>8567</v>
      </c>
      <c r="F102" s="13">
        <v>81264</v>
      </c>
      <c r="G102" s="13">
        <v>84312</v>
      </c>
      <c r="H102" s="13">
        <v>76135</v>
      </c>
      <c r="I102" s="13">
        <v>66313</v>
      </c>
      <c r="J102" s="13">
        <v>95340</v>
      </c>
      <c r="K102" s="13">
        <v>14988</v>
      </c>
      <c r="L102" s="13">
        <v>1675</v>
      </c>
      <c r="M102" s="411" t="s">
        <v>233</v>
      </c>
      <c r="N102" s="411" t="s">
        <v>233</v>
      </c>
      <c r="O102" s="13">
        <v>5057</v>
      </c>
      <c r="P102" s="13">
        <v>9990</v>
      </c>
      <c r="Q102" s="44">
        <v>527385</v>
      </c>
      <c r="R102" s="44">
        <v>851418</v>
      </c>
      <c r="S102" s="14">
        <v>1246466</v>
      </c>
    </row>
    <row r="103" spans="1:19" s="33" customFormat="1" ht="26.1" customHeight="1">
      <c r="A103" s="65"/>
      <c r="B103" s="17" t="s">
        <v>106</v>
      </c>
      <c r="C103" s="131"/>
      <c r="D103" s="37">
        <v>2701.4193548387098</v>
      </c>
      <c r="E103" s="37">
        <v>276.35483870967744</v>
      </c>
      <c r="F103" s="37">
        <v>2621.4193548387098</v>
      </c>
      <c r="G103" s="37">
        <v>2719.7419354838707</v>
      </c>
      <c r="H103" s="37">
        <v>2455.9677419354839</v>
      </c>
      <c r="I103" s="37">
        <v>2139.1290322580644</v>
      </c>
      <c r="J103" s="37">
        <v>3075.483870967742</v>
      </c>
      <c r="K103" s="37">
        <v>483.48387096774195</v>
      </c>
      <c r="L103" s="37">
        <v>54.032258064516128</v>
      </c>
      <c r="M103" s="411" t="s">
        <v>233</v>
      </c>
      <c r="N103" s="411" t="s">
        <v>233</v>
      </c>
      <c r="O103" s="37">
        <v>163.12903225806451</v>
      </c>
      <c r="P103" s="37">
        <v>322.25806451612902</v>
      </c>
      <c r="Q103" s="37">
        <v>17012.419354838708</v>
      </c>
      <c r="R103" s="37">
        <v>29359.241379310344</v>
      </c>
      <c r="S103" s="38">
        <v>40209</v>
      </c>
    </row>
    <row r="104" spans="1:19" ht="26.1" customHeight="1">
      <c r="A104" s="16"/>
      <c r="B104" s="17" t="s">
        <v>107</v>
      </c>
      <c r="C104" s="115"/>
      <c r="D104" s="13">
        <v>57.48</v>
      </c>
      <c r="E104" s="13">
        <v>69.09</v>
      </c>
      <c r="F104" s="13">
        <v>58.25</v>
      </c>
      <c r="G104" s="13">
        <v>57.87</v>
      </c>
      <c r="H104" s="13">
        <v>66.38</v>
      </c>
      <c r="I104" s="13">
        <v>64.819999999999993</v>
      </c>
      <c r="J104" s="13">
        <v>60.3</v>
      </c>
      <c r="K104" s="13">
        <v>60.44</v>
      </c>
      <c r="L104" s="13">
        <v>54.03</v>
      </c>
      <c r="M104" s="411" t="s">
        <v>233</v>
      </c>
      <c r="N104" s="411" t="s">
        <v>233</v>
      </c>
      <c r="O104" s="13">
        <v>54.38</v>
      </c>
      <c r="P104" s="13">
        <v>46.04</v>
      </c>
      <c r="Q104" s="97">
        <v>59.69</v>
      </c>
      <c r="R104" s="97">
        <v>63.41</v>
      </c>
      <c r="S104" s="98">
        <v>64.03</v>
      </c>
    </row>
    <row r="105" spans="1:19" ht="25.5">
      <c r="A105" s="16"/>
      <c r="B105" s="17" t="s">
        <v>108</v>
      </c>
      <c r="C105" s="115"/>
      <c r="D105" s="13">
        <v>77931</v>
      </c>
      <c r="E105" s="13">
        <v>186523</v>
      </c>
      <c r="F105" s="13">
        <v>66223</v>
      </c>
      <c r="G105" s="13">
        <v>51571</v>
      </c>
      <c r="H105" s="13">
        <v>84739</v>
      </c>
      <c r="I105" s="13">
        <v>29476</v>
      </c>
      <c r="J105" s="13">
        <v>30386</v>
      </c>
      <c r="K105" s="13">
        <v>40886</v>
      </c>
      <c r="L105" s="13">
        <v>74281</v>
      </c>
      <c r="M105" s="13">
        <v>144410</v>
      </c>
      <c r="N105" s="411" t="s">
        <v>233</v>
      </c>
      <c r="O105" s="13">
        <v>83069</v>
      </c>
      <c r="P105" s="13">
        <v>50858</v>
      </c>
      <c r="Q105" s="37">
        <v>920353</v>
      </c>
      <c r="R105" s="37">
        <v>1340294</v>
      </c>
      <c r="S105" s="38">
        <v>738499</v>
      </c>
    </row>
    <row r="106" spans="1:19" ht="18" customHeight="1">
      <c r="A106" s="16"/>
      <c r="B106" s="17" t="s">
        <v>109</v>
      </c>
      <c r="C106" s="115"/>
      <c r="D106" s="37">
        <v>2513.9032258064517</v>
      </c>
      <c r="E106" s="37">
        <v>6016.8709677419356</v>
      </c>
      <c r="F106" s="37">
        <v>2136.2258064516127</v>
      </c>
      <c r="G106" s="37">
        <v>1663.5806451612902</v>
      </c>
      <c r="H106" s="37">
        <v>2733.516129032258</v>
      </c>
      <c r="I106" s="37">
        <v>950.83870967741939</v>
      </c>
      <c r="J106" s="37">
        <v>980.19354838709683</v>
      </c>
      <c r="K106" s="37">
        <v>1318.9032258064517</v>
      </c>
      <c r="L106" s="37">
        <v>2396.1612903225805</v>
      </c>
      <c r="M106" s="37">
        <v>4658.3870967741932</v>
      </c>
      <c r="N106" s="411" t="s">
        <v>233</v>
      </c>
      <c r="O106" s="37">
        <v>2679.6451612903224</v>
      </c>
      <c r="P106" s="37">
        <v>1640.5806451612902</v>
      </c>
      <c r="Q106" s="37">
        <v>29688.806451612902</v>
      </c>
      <c r="R106" s="37">
        <v>46217.034482758623</v>
      </c>
      <c r="S106" s="38">
        <v>23823</v>
      </c>
    </row>
    <row r="107" spans="1:19" s="15" customFormat="1" ht="30" customHeight="1">
      <c r="A107" s="132"/>
      <c r="B107" s="11" t="s">
        <v>110</v>
      </c>
      <c r="C107" s="110"/>
      <c r="D107" s="13">
        <v>64.73</v>
      </c>
      <c r="E107" s="13">
        <v>71.66</v>
      </c>
      <c r="F107" s="13">
        <v>58.92</v>
      </c>
      <c r="G107" s="13">
        <v>57.41</v>
      </c>
      <c r="H107" s="13">
        <v>66.25</v>
      </c>
      <c r="I107" s="13">
        <v>55.49</v>
      </c>
      <c r="J107" s="13">
        <v>55.19</v>
      </c>
      <c r="K107" s="100">
        <v>58.61</v>
      </c>
      <c r="L107" s="13">
        <v>70.25</v>
      </c>
      <c r="M107" s="105">
        <v>72.790000000000006</v>
      </c>
      <c r="N107" s="412" t="s">
        <v>233</v>
      </c>
      <c r="O107" s="13">
        <v>69.099999999999994</v>
      </c>
      <c r="P107" s="13">
        <v>76.77</v>
      </c>
      <c r="Q107" s="133">
        <v>67.02</v>
      </c>
      <c r="R107" s="133">
        <v>69.47</v>
      </c>
      <c r="S107" s="179">
        <v>71.510000000000005</v>
      </c>
    </row>
    <row r="108" spans="1:19" s="21" customFormat="1" ht="18" customHeight="1">
      <c r="A108" s="81">
        <v>26</v>
      </c>
      <c r="B108" s="82" t="s">
        <v>111</v>
      </c>
      <c r="C108" s="112"/>
      <c r="D108" s="94">
        <v>3.628427111196026</v>
      </c>
      <c r="E108" s="94">
        <v>3.4464806816855376</v>
      </c>
      <c r="F108" s="94">
        <v>3.3080207718054737</v>
      </c>
      <c r="G108" s="94">
        <v>3.2533091374893255</v>
      </c>
      <c r="H108" s="94">
        <v>3.3865502068693769</v>
      </c>
      <c r="I108" s="94">
        <v>3.0718109571275618</v>
      </c>
      <c r="J108" s="94">
        <v>3.0808579819593036</v>
      </c>
      <c r="K108" s="94">
        <v>3.6049506271684013</v>
      </c>
      <c r="L108" s="94">
        <v>4.3301492537313431</v>
      </c>
      <c r="M108" s="411" t="s">
        <v>233</v>
      </c>
      <c r="N108" s="411" t="s">
        <v>233</v>
      </c>
      <c r="O108" s="94">
        <v>4.0846351591852876</v>
      </c>
      <c r="P108" s="94">
        <v>4.5904904904904908</v>
      </c>
      <c r="Q108" s="94">
        <v>3.3363956123135852</v>
      </c>
      <c r="R108" s="94">
        <v>3.1944884886154625</v>
      </c>
      <c r="S108" s="95">
        <v>3.4</v>
      </c>
    </row>
    <row r="109" spans="1:19" s="21" customFormat="1" ht="18" customHeight="1">
      <c r="A109" s="16"/>
      <c r="B109" s="11" t="s">
        <v>112</v>
      </c>
      <c r="C109" s="115"/>
      <c r="D109" s="97">
        <v>3.2103014204873541</v>
      </c>
      <c r="E109" s="97">
        <v>3.2912777512692806</v>
      </c>
      <c r="F109" s="97">
        <v>3.2889177476103471</v>
      </c>
      <c r="G109" s="97">
        <v>3.2773845766031298</v>
      </c>
      <c r="H109" s="97">
        <v>3.4173049009310943</v>
      </c>
      <c r="I109" s="97">
        <v>3.6031008277921019</v>
      </c>
      <c r="J109" s="97">
        <v>3.3507865464358586</v>
      </c>
      <c r="K109" s="97">
        <v>3.499388543755809</v>
      </c>
      <c r="L109" s="97">
        <v>3.7381968471076048</v>
      </c>
      <c r="M109" s="97">
        <v>3.3431895298109549</v>
      </c>
      <c r="N109" s="411" t="s">
        <v>233</v>
      </c>
      <c r="O109" s="97">
        <v>2.9973154847175238</v>
      </c>
      <c r="P109" s="97">
        <v>2.9094930984309255</v>
      </c>
      <c r="Q109" s="97">
        <v>3.3128593050709889</v>
      </c>
      <c r="R109" s="97">
        <v>3.208802695527996</v>
      </c>
      <c r="S109" s="98">
        <v>2.98</v>
      </c>
    </row>
    <row r="110" spans="1:19" s="21" customFormat="1" ht="30" customHeight="1">
      <c r="A110" s="28">
        <v>27</v>
      </c>
      <c r="B110" s="11" t="s">
        <v>113</v>
      </c>
      <c r="C110" s="135"/>
      <c r="D110" s="13">
        <v>934</v>
      </c>
      <c r="E110" s="13">
        <v>430</v>
      </c>
      <c r="F110" s="13">
        <v>631</v>
      </c>
      <c r="G110" s="13">
        <v>321</v>
      </c>
      <c r="H110" s="13">
        <v>443</v>
      </c>
      <c r="I110" s="13">
        <v>358</v>
      </c>
      <c r="J110" s="13">
        <v>271</v>
      </c>
      <c r="K110" s="13">
        <v>218</v>
      </c>
      <c r="L110" s="13">
        <v>52</v>
      </c>
      <c r="M110" s="13">
        <v>498</v>
      </c>
      <c r="N110" s="411" t="s">
        <v>233</v>
      </c>
      <c r="O110" s="13">
        <v>456</v>
      </c>
      <c r="P110" s="13">
        <v>469</v>
      </c>
      <c r="Q110" s="44">
        <v>5081</v>
      </c>
      <c r="R110" s="44">
        <v>7472</v>
      </c>
      <c r="S110" s="14">
        <v>9917</v>
      </c>
    </row>
    <row r="111" spans="1:19" s="21" customFormat="1" ht="14.25" customHeight="1">
      <c r="A111" s="16"/>
      <c r="B111" s="11" t="s">
        <v>178</v>
      </c>
      <c r="C111" s="115"/>
      <c r="D111" s="136">
        <v>30.129032258064516</v>
      </c>
      <c r="E111" s="136">
        <v>13.870967741935484</v>
      </c>
      <c r="F111" s="136">
        <v>20.35483870967742</v>
      </c>
      <c r="G111" s="136">
        <v>10.35483870967742</v>
      </c>
      <c r="H111" s="136">
        <v>14.290322580645162</v>
      </c>
      <c r="I111" s="136">
        <v>11.548387096774194</v>
      </c>
      <c r="J111" s="136">
        <v>8.741935483870968</v>
      </c>
      <c r="K111" s="136">
        <v>7.032258064516129</v>
      </c>
      <c r="L111" s="136">
        <v>1.6774193548387097</v>
      </c>
      <c r="M111" s="136">
        <v>16.06451612903226</v>
      </c>
      <c r="N111" s="411" t="s">
        <v>233</v>
      </c>
      <c r="O111" s="136">
        <v>14.709677419354838</v>
      </c>
      <c r="P111" s="136">
        <v>15.129032258064516</v>
      </c>
      <c r="Q111" s="136">
        <v>163.90322580645162</v>
      </c>
      <c r="R111" s="136">
        <v>257.65517241379308</v>
      </c>
      <c r="S111" s="316">
        <v>319.89999999999998</v>
      </c>
    </row>
    <row r="112" spans="1:19" s="21" customFormat="1" ht="20.100000000000001" customHeight="1">
      <c r="A112" s="16">
        <v>28</v>
      </c>
      <c r="B112" s="17" t="s">
        <v>115</v>
      </c>
      <c r="C112" s="109"/>
      <c r="D112" s="136">
        <v>593.19164882226983</v>
      </c>
      <c r="E112" s="136">
        <v>1496.3372093023256</v>
      </c>
      <c r="F112" s="136">
        <v>771.19651347068145</v>
      </c>
      <c r="G112" s="136">
        <v>1381.031152647975</v>
      </c>
      <c r="H112" s="136">
        <v>1235.6975169300226</v>
      </c>
      <c r="I112" s="136">
        <v>865.65921787709499</v>
      </c>
      <c r="J112" s="136">
        <v>1459.579335793358</v>
      </c>
      <c r="K112" s="136">
        <v>904.16055045871565</v>
      </c>
      <c r="L112" s="136">
        <v>5479.4230769230771</v>
      </c>
      <c r="M112" s="136">
        <v>969.45783132530119</v>
      </c>
      <c r="N112" s="411" t="s">
        <v>233</v>
      </c>
      <c r="O112" s="136">
        <v>591.31578947368416</v>
      </c>
      <c r="P112" s="136">
        <v>413.28358208955223</v>
      </c>
      <c r="Q112" s="136">
        <v>946.38161779177324</v>
      </c>
      <c r="R112" s="136">
        <v>939.58565310492509</v>
      </c>
      <c r="S112" s="180">
        <v>647.71</v>
      </c>
    </row>
    <row r="113" spans="1:19" s="21" customFormat="1" ht="26.1" customHeight="1">
      <c r="A113" s="16">
        <v>29</v>
      </c>
      <c r="B113" s="17" t="s">
        <v>116</v>
      </c>
      <c r="C113" s="109"/>
      <c r="D113" s="13">
        <v>9</v>
      </c>
      <c r="E113" s="13">
        <v>8</v>
      </c>
      <c r="F113" s="13">
        <v>7</v>
      </c>
      <c r="G113" s="13">
        <v>5</v>
      </c>
      <c r="H113" s="13">
        <v>6</v>
      </c>
      <c r="I113" s="13">
        <v>5</v>
      </c>
      <c r="J113" s="13">
        <v>13</v>
      </c>
      <c r="K113" s="13">
        <v>6</v>
      </c>
      <c r="L113" s="13">
        <v>9</v>
      </c>
      <c r="M113" s="13">
        <v>10</v>
      </c>
      <c r="N113" s="411" t="s">
        <v>233</v>
      </c>
      <c r="O113" s="13">
        <v>6</v>
      </c>
      <c r="P113" s="13">
        <v>5</v>
      </c>
      <c r="Q113" s="137">
        <v>89</v>
      </c>
      <c r="R113" s="137">
        <v>121</v>
      </c>
      <c r="S113" s="181">
        <v>143</v>
      </c>
    </row>
    <row r="114" spans="1:19" s="21" customFormat="1" ht="20.100000000000001" customHeight="1">
      <c r="A114" s="16">
        <v>30</v>
      </c>
      <c r="B114" s="17" t="s">
        <v>180</v>
      </c>
      <c r="C114" s="115"/>
      <c r="D114" s="36">
        <v>49880.444444444445</v>
      </c>
      <c r="E114" s="36">
        <v>63902.75</v>
      </c>
      <c r="F114" s="36">
        <v>61176.714285714283</v>
      </c>
      <c r="G114" s="36">
        <v>55435.199999999997</v>
      </c>
      <c r="H114" s="36">
        <v>56694.333333333336</v>
      </c>
      <c r="I114" s="36">
        <v>53995.6</v>
      </c>
      <c r="J114" s="36">
        <v>54488.307692307695</v>
      </c>
      <c r="K114" s="36">
        <v>51259.5</v>
      </c>
      <c r="L114" s="36">
        <v>51256.222222222219</v>
      </c>
      <c r="M114" s="36">
        <v>53688.7</v>
      </c>
      <c r="N114" s="411" t="s">
        <v>233</v>
      </c>
      <c r="O114" s="36">
        <v>56975.666666666664</v>
      </c>
      <c r="P114" s="36">
        <v>53026.2</v>
      </c>
      <c r="Q114" s="37">
        <v>55020.067415730337</v>
      </c>
      <c r="R114" s="37">
        <v>52623.685950413223</v>
      </c>
      <c r="S114" s="116">
        <v>45265</v>
      </c>
    </row>
    <row r="115" spans="1:19" s="21" customFormat="1" ht="26.1" customHeight="1">
      <c r="A115" s="77">
        <v>31</v>
      </c>
      <c r="B115" s="78" t="s">
        <v>118</v>
      </c>
      <c r="C115" s="110"/>
      <c r="D115" s="13">
        <v>8</v>
      </c>
      <c r="E115" s="13">
        <v>18</v>
      </c>
      <c r="F115" s="13">
        <v>13</v>
      </c>
      <c r="G115" s="13">
        <v>13</v>
      </c>
      <c r="H115" s="13">
        <v>14</v>
      </c>
      <c r="I115" s="13">
        <v>12</v>
      </c>
      <c r="J115" s="13">
        <v>14</v>
      </c>
      <c r="K115" s="13">
        <v>9</v>
      </c>
      <c r="L115" s="13">
        <v>7</v>
      </c>
      <c r="M115" s="13">
        <v>10</v>
      </c>
      <c r="N115" s="411" t="s">
        <v>233</v>
      </c>
      <c r="O115" s="13">
        <v>7</v>
      </c>
      <c r="P115" s="13">
        <v>7</v>
      </c>
      <c r="Q115" s="137">
        <v>132</v>
      </c>
      <c r="R115" s="137">
        <v>198</v>
      </c>
      <c r="S115" s="181">
        <v>178</v>
      </c>
    </row>
    <row r="116" spans="1:19" s="15" customFormat="1" ht="20.100000000000001" customHeight="1" thickBot="1">
      <c r="A116" s="132">
        <v>32</v>
      </c>
      <c r="B116" s="78" t="s">
        <v>179</v>
      </c>
      <c r="C116" s="110"/>
      <c r="D116" s="413">
        <v>38582.125</v>
      </c>
      <c r="E116" s="413">
        <v>37210.722222222219</v>
      </c>
      <c r="F116" s="413">
        <v>36833.923076923078</v>
      </c>
      <c r="G116" s="413">
        <v>32878.230769230766</v>
      </c>
      <c r="H116" s="413">
        <v>29789</v>
      </c>
      <c r="I116" s="413">
        <v>34109.083333333336</v>
      </c>
      <c r="J116" s="413">
        <v>39508.285714285717</v>
      </c>
      <c r="K116" s="413">
        <v>35840.888888888891</v>
      </c>
      <c r="L116" s="413">
        <v>38052.571428571428</v>
      </c>
      <c r="M116" s="413">
        <v>32224.5</v>
      </c>
      <c r="N116" s="414" t="s">
        <v>233</v>
      </c>
      <c r="O116" s="413">
        <v>34266.285714285717</v>
      </c>
      <c r="P116" s="413">
        <v>37002.428571428572</v>
      </c>
      <c r="Q116" s="413">
        <v>35410.916666666664</v>
      </c>
      <c r="R116" s="413">
        <v>38858.42424242424</v>
      </c>
      <c r="S116" s="117">
        <v>40025</v>
      </c>
    </row>
    <row r="117" spans="1:19" s="15" customFormat="1" ht="15" customHeight="1" thickTop="1">
      <c r="A117" s="680" t="s">
        <v>120</v>
      </c>
      <c r="B117" s="681"/>
      <c r="C117" s="415"/>
      <c r="D117" s="416"/>
      <c r="E117" s="416"/>
      <c r="F117" s="416"/>
      <c r="G117" s="416"/>
      <c r="H117" s="416"/>
      <c r="I117" s="416"/>
      <c r="J117" s="416" t="s">
        <v>121</v>
      </c>
      <c r="K117" s="416"/>
      <c r="L117" s="416"/>
      <c r="M117" s="416"/>
      <c r="N117" s="416"/>
      <c r="O117" s="416"/>
      <c r="P117" s="416"/>
      <c r="Q117" s="416"/>
      <c r="R117" s="416"/>
      <c r="S117" s="417"/>
    </row>
    <row r="118" spans="1:19" s="21" customFormat="1" ht="18" customHeight="1">
      <c r="A118" s="16">
        <v>33</v>
      </c>
      <c r="B118" s="66" t="s">
        <v>122</v>
      </c>
      <c r="C118" s="141" t="s">
        <v>123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97"/>
      <c r="R118" s="97"/>
      <c r="S118" s="38"/>
    </row>
    <row r="119" spans="1:19" s="21" customFormat="1" ht="18" customHeight="1">
      <c r="A119" s="16"/>
      <c r="B119" s="17" t="s">
        <v>124</v>
      </c>
      <c r="C119" s="142">
        <v>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3" t="s">
        <v>72</v>
      </c>
      <c r="N119" s="75" t="s">
        <v>72</v>
      </c>
      <c r="O119" s="63" t="s">
        <v>72</v>
      </c>
      <c r="P119" s="63" t="s">
        <v>72</v>
      </c>
      <c r="Q119" s="97">
        <v>0.61073170731707316</v>
      </c>
      <c r="R119" s="97">
        <v>0.4</v>
      </c>
      <c r="S119" s="98">
        <v>0.47</v>
      </c>
    </row>
    <row r="120" spans="1:19" s="21" customFormat="1" ht="18" customHeight="1">
      <c r="A120" s="16"/>
      <c r="B120" s="17" t="s">
        <v>125</v>
      </c>
      <c r="C120" s="142">
        <v>6.5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3" t="s">
        <v>72</v>
      </c>
      <c r="N120" s="63" t="s">
        <v>72</v>
      </c>
      <c r="O120" s="63" t="s">
        <v>72</v>
      </c>
      <c r="P120" s="63" t="s">
        <v>72</v>
      </c>
      <c r="Q120" s="97">
        <v>6.7912195121951218</v>
      </c>
      <c r="R120" s="97">
        <v>4.82</v>
      </c>
      <c r="S120" s="98">
        <v>4.99</v>
      </c>
    </row>
    <row r="121" spans="1:19" s="21" customFormat="1" ht="18" customHeight="1">
      <c r="A121" s="16"/>
      <c r="B121" s="17" t="s">
        <v>126</v>
      </c>
      <c r="C121" s="142">
        <v>1.5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97">
        <v>1.2917073170731708</v>
      </c>
      <c r="R121" s="97">
        <v>0.85</v>
      </c>
      <c r="S121" s="98">
        <v>1</v>
      </c>
    </row>
    <row r="122" spans="1:19" s="21" customFormat="1" ht="18" customHeight="1">
      <c r="A122" s="16"/>
      <c r="B122" s="66" t="s">
        <v>127</v>
      </c>
      <c r="C122" s="144">
        <v>9</v>
      </c>
      <c r="D122" s="63" t="s">
        <v>72</v>
      </c>
      <c r="E122" s="63" t="s">
        <v>72</v>
      </c>
      <c r="F122" s="63" t="s">
        <v>72</v>
      </c>
      <c r="G122" s="63" t="s">
        <v>72</v>
      </c>
      <c r="H122" s="63" t="s">
        <v>72</v>
      </c>
      <c r="I122" s="63" t="s">
        <v>72</v>
      </c>
      <c r="J122" s="63" t="s">
        <v>72</v>
      </c>
      <c r="K122" s="63" t="s">
        <v>72</v>
      </c>
      <c r="L122" s="63" t="s">
        <v>72</v>
      </c>
      <c r="M122" s="63" t="s">
        <v>72</v>
      </c>
      <c r="N122" s="63" t="s">
        <v>72</v>
      </c>
      <c r="O122" s="63" t="s">
        <v>72</v>
      </c>
      <c r="P122" s="63" t="s">
        <v>72</v>
      </c>
      <c r="Q122" s="97">
        <v>8.6936585365853656</v>
      </c>
      <c r="R122" s="97">
        <v>6.07</v>
      </c>
      <c r="S122" s="98">
        <v>6.46</v>
      </c>
    </row>
    <row r="123" spans="1:19" s="21" customFormat="1" ht="32.25" customHeight="1">
      <c r="A123" s="16">
        <v>34</v>
      </c>
      <c r="B123" s="17" t="s">
        <v>128</v>
      </c>
      <c r="C123" s="109"/>
      <c r="D123" s="63" t="s">
        <v>72</v>
      </c>
      <c r="E123" s="63" t="s">
        <v>72</v>
      </c>
      <c r="F123" s="63" t="s">
        <v>72</v>
      </c>
      <c r="G123" s="63" t="s">
        <v>72</v>
      </c>
      <c r="H123" s="63" t="s">
        <v>72</v>
      </c>
      <c r="I123" s="63" t="s">
        <v>72</v>
      </c>
      <c r="J123" s="63" t="s">
        <v>72</v>
      </c>
      <c r="K123" s="63" t="s">
        <v>72</v>
      </c>
      <c r="L123" s="63" t="s">
        <v>72</v>
      </c>
      <c r="M123" s="63" t="s">
        <v>72</v>
      </c>
      <c r="N123" s="63" t="s">
        <v>72</v>
      </c>
      <c r="O123" s="63" t="s">
        <v>72</v>
      </c>
      <c r="P123" s="63" t="s">
        <v>72</v>
      </c>
      <c r="Q123" s="97">
        <v>1139.6500000000001</v>
      </c>
      <c r="R123" s="97">
        <v>1077.76</v>
      </c>
      <c r="S123" s="98">
        <v>1029.05</v>
      </c>
    </row>
    <row r="124" spans="1:19" s="21" customFormat="1" ht="25.5">
      <c r="A124" s="39">
        <v>35</v>
      </c>
      <c r="B124" s="40" t="s">
        <v>129</v>
      </c>
      <c r="C124" s="105">
        <v>30</v>
      </c>
      <c r="D124" s="105">
        <v>184</v>
      </c>
      <c r="E124" s="105">
        <v>608</v>
      </c>
      <c r="F124" s="105">
        <v>98</v>
      </c>
      <c r="G124" s="105">
        <v>75</v>
      </c>
      <c r="H124" s="105">
        <v>140</v>
      </c>
      <c r="I124" s="105">
        <v>26</v>
      </c>
      <c r="J124" s="412" t="s">
        <v>233</v>
      </c>
      <c r="K124" s="105">
        <v>43</v>
      </c>
      <c r="L124" s="105">
        <v>42</v>
      </c>
      <c r="M124" s="105">
        <v>66</v>
      </c>
      <c r="N124" s="105">
        <v>0</v>
      </c>
      <c r="O124" s="105">
        <v>41</v>
      </c>
      <c r="P124" s="105">
        <v>39</v>
      </c>
      <c r="Q124" s="418">
        <v>1392</v>
      </c>
      <c r="R124" s="418">
        <v>1342</v>
      </c>
      <c r="S124" s="60">
        <v>1837</v>
      </c>
    </row>
    <row r="125" spans="1:19" s="21" customFormat="1" ht="29.25" customHeight="1">
      <c r="A125" s="28">
        <v>36</v>
      </c>
      <c r="B125" s="11" t="s">
        <v>130</v>
      </c>
      <c r="C125" s="35"/>
      <c r="D125" s="44" t="s">
        <v>72</v>
      </c>
      <c r="E125" s="44" t="s">
        <v>72</v>
      </c>
      <c r="F125" s="44" t="s">
        <v>72</v>
      </c>
      <c r="G125" s="44" t="s">
        <v>72</v>
      </c>
      <c r="H125" s="44" t="s">
        <v>72</v>
      </c>
      <c r="I125" s="44" t="s">
        <v>72</v>
      </c>
      <c r="J125" s="44" t="s">
        <v>72</v>
      </c>
      <c r="K125" s="44" t="s">
        <v>72</v>
      </c>
      <c r="L125" s="44" t="s">
        <v>72</v>
      </c>
      <c r="M125" s="44" t="s">
        <v>72</v>
      </c>
      <c r="N125" s="44" t="s">
        <v>72</v>
      </c>
      <c r="O125" s="44" t="s">
        <v>72</v>
      </c>
      <c r="P125" s="44" t="s">
        <v>72</v>
      </c>
      <c r="Q125" s="44">
        <v>566</v>
      </c>
      <c r="R125" s="44">
        <v>997</v>
      </c>
      <c r="S125" s="14">
        <v>1422</v>
      </c>
    </row>
    <row r="126" spans="1:19" s="21" customFormat="1" ht="20.100000000000001" customHeight="1">
      <c r="A126" s="16">
        <v>37</v>
      </c>
      <c r="B126" s="17" t="s">
        <v>131</v>
      </c>
      <c r="C126" s="18"/>
      <c r="D126" s="63" t="s">
        <v>72</v>
      </c>
      <c r="E126" s="63" t="s">
        <v>72</v>
      </c>
      <c r="F126" s="63" t="s">
        <v>72</v>
      </c>
      <c r="G126" s="63" t="s">
        <v>72</v>
      </c>
      <c r="H126" s="63" t="s">
        <v>72</v>
      </c>
      <c r="I126" s="63" t="s">
        <v>72</v>
      </c>
      <c r="J126" s="63" t="s">
        <v>72</v>
      </c>
      <c r="K126" s="63" t="s">
        <v>72</v>
      </c>
      <c r="L126" s="63" t="s">
        <v>72</v>
      </c>
      <c r="M126" s="63" t="s">
        <v>72</v>
      </c>
      <c r="N126" s="63" t="s">
        <v>72</v>
      </c>
      <c r="O126" s="63" t="s">
        <v>72</v>
      </c>
      <c r="P126" s="63" t="s">
        <v>72</v>
      </c>
      <c r="Q126" s="63">
        <v>326</v>
      </c>
      <c r="R126" s="63">
        <v>323</v>
      </c>
      <c r="S126" s="20">
        <v>320</v>
      </c>
    </row>
    <row r="127" spans="1:19" s="15" customFormat="1" ht="20.100000000000001" customHeight="1">
      <c r="A127" s="51"/>
      <c r="B127" s="40" t="s">
        <v>132</v>
      </c>
      <c r="C127" s="53"/>
      <c r="D127" s="105" t="s">
        <v>72</v>
      </c>
      <c r="E127" s="105" t="s">
        <v>72</v>
      </c>
      <c r="F127" s="105" t="s">
        <v>72</v>
      </c>
      <c r="G127" s="105" t="s">
        <v>72</v>
      </c>
      <c r="H127" s="105" t="s">
        <v>72</v>
      </c>
      <c r="I127" s="105" t="s">
        <v>72</v>
      </c>
      <c r="J127" s="105" t="s">
        <v>72</v>
      </c>
      <c r="K127" s="105" t="s">
        <v>72</v>
      </c>
      <c r="L127" s="105" t="s">
        <v>72</v>
      </c>
      <c r="M127" s="105" t="s">
        <v>72</v>
      </c>
      <c r="N127" s="105" t="s">
        <v>72</v>
      </c>
      <c r="O127" s="105" t="s">
        <v>72</v>
      </c>
      <c r="P127" s="105" t="s">
        <v>72</v>
      </c>
      <c r="Q127" s="42">
        <v>21.08</v>
      </c>
      <c r="R127" s="42">
        <v>21</v>
      </c>
      <c r="S127" s="43">
        <v>21.54</v>
      </c>
    </row>
    <row r="128" spans="1:19" s="15" customFormat="1" ht="20.100000000000001" customHeight="1">
      <c r="A128" s="10">
        <v>38</v>
      </c>
      <c r="B128" s="11" t="s">
        <v>133</v>
      </c>
      <c r="C128" s="35"/>
      <c r="D128" s="13" t="s">
        <v>72</v>
      </c>
      <c r="E128" s="13" t="s">
        <v>72</v>
      </c>
      <c r="F128" s="13" t="s">
        <v>72</v>
      </c>
      <c r="G128" s="13" t="s">
        <v>72</v>
      </c>
      <c r="H128" s="13" t="s">
        <v>72</v>
      </c>
      <c r="I128" s="13" t="s">
        <v>72</v>
      </c>
      <c r="J128" s="13" t="s">
        <v>72</v>
      </c>
      <c r="K128" s="13" t="s">
        <v>72</v>
      </c>
      <c r="L128" s="13" t="s">
        <v>72</v>
      </c>
      <c r="M128" s="13" t="s">
        <v>72</v>
      </c>
      <c r="N128" s="13" t="s">
        <v>72</v>
      </c>
      <c r="O128" s="13" t="s">
        <v>72</v>
      </c>
      <c r="P128" s="13" t="s">
        <v>72</v>
      </c>
      <c r="Q128" s="36">
        <v>259475869</v>
      </c>
      <c r="R128" s="36">
        <v>450263766</v>
      </c>
      <c r="S128" s="49">
        <v>421698182</v>
      </c>
    </row>
    <row r="129" spans="1:19" s="21" customFormat="1" ht="20.100000000000001" customHeight="1">
      <c r="A129" s="16"/>
      <c r="B129" s="17" t="s">
        <v>134</v>
      </c>
      <c r="C129" s="18"/>
      <c r="D129" s="63" t="s">
        <v>72</v>
      </c>
      <c r="E129" s="63" t="s">
        <v>72</v>
      </c>
      <c r="F129" s="63" t="s">
        <v>72</v>
      </c>
      <c r="G129" s="63" t="s">
        <v>72</v>
      </c>
      <c r="H129" s="63" t="s">
        <v>72</v>
      </c>
      <c r="I129" s="63" t="s">
        <v>72</v>
      </c>
      <c r="J129" s="63" t="s">
        <v>72</v>
      </c>
      <c r="K129" s="63" t="s">
        <v>72</v>
      </c>
      <c r="L129" s="63" t="s">
        <v>72</v>
      </c>
      <c r="M129" s="63" t="s">
        <v>72</v>
      </c>
      <c r="N129" s="63" t="s">
        <v>72</v>
      </c>
      <c r="O129" s="63" t="s">
        <v>72</v>
      </c>
      <c r="P129" s="63" t="s">
        <v>72</v>
      </c>
      <c r="Q129" s="37">
        <v>8370189.3225806449</v>
      </c>
      <c r="R129" s="37">
        <v>15526336.758620691</v>
      </c>
      <c r="S129" s="38">
        <v>13603167</v>
      </c>
    </row>
    <row r="130" spans="1:19" s="15" customFormat="1" ht="20.100000000000001" customHeight="1">
      <c r="A130" s="88"/>
      <c r="B130" s="17" t="s">
        <v>135</v>
      </c>
      <c r="C130" s="89"/>
      <c r="D130" s="19" t="s">
        <v>72</v>
      </c>
      <c r="E130" s="19" t="s">
        <v>72</v>
      </c>
      <c r="F130" s="19" t="s">
        <v>72</v>
      </c>
      <c r="G130" s="19" t="s">
        <v>72</v>
      </c>
      <c r="H130" s="19" t="s">
        <v>72</v>
      </c>
      <c r="I130" s="19" t="s">
        <v>72</v>
      </c>
      <c r="J130" s="19" t="s">
        <v>72</v>
      </c>
      <c r="K130" s="19" t="s">
        <v>72</v>
      </c>
      <c r="L130" s="19" t="s">
        <v>72</v>
      </c>
      <c r="M130" s="19" t="s">
        <v>72</v>
      </c>
      <c r="N130" s="19" t="s">
        <v>72</v>
      </c>
      <c r="O130" s="19" t="s">
        <v>72</v>
      </c>
      <c r="P130" s="19" t="s">
        <v>72</v>
      </c>
      <c r="Q130" s="90">
        <v>13.022444652098006</v>
      </c>
      <c r="R130" s="90">
        <v>13.257591619891841</v>
      </c>
      <c r="S130" s="91">
        <v>13.73</v>
      </c>
    </row>
    <row r="131" spans="1:19" s="21" customFormat="1" ht="20.100000000000001" customHeight="1">
      <c r="A131" s="39"/>
      <c r="B131" s="40" t="s">
        <v>136</v>
      </c>
      <c r="C131" s="41"/>
      <c r="D131" s="42">
        <v>35.39</v>
      </c>
      <c r="E131" s="42">
        <v>36.409999999999997</v>
      </c>
      <c r="F131" s="42">
        <v>40.11</v>
      </c>
      <c r="G131" s="42">
        <v>43.15</v>
      </c>
      <c r="H131" s="42">
        <v>40.869999999999997</v>
      </c>
      <c r="I131" s="42">
        <v>41.17</v>
      </c>
      <c r="J131" s="42">
        <v>39.909999999999997</v>
      </c>
      <c r="K131" s="42">
        <v>32.840000000000003</v>
      </c>
      <c r="L131" s="42">
        <v>38.549999999999997</v>
      </c>
      <c r="M131" s="42">
        <v>32.83</v>
      </c>
      <c r="N131" s="42">
        <v>46.52</v>
      </c>
      <c r="O131" s="42">
        <v>39.950000000000003</v>
      </c>
      <c r="P131" s="42">
        <v>35.35</v>
      </c>
      <c r="Q131" s="107">
        <v>38.22966051851018</v>
      </c>
      <c r="R131" s="107">
        <v>47.011998891166762</v>
      </c>
      <c r="S131" s="108">
        <v>46.09</v>
      </c>
    </row>
    <row r="132" spans="1:19" s="21" customFormat="1" ht="63.75">
      <c r="A132" s="28">
        <v>39</v>
      </c>
      <c r="B132" s="11" t="s">
        <v>137</v>
      </c>
      <c r="C132" s="35"/>
      <c r="D132" s="44" t="s">
        <v>72</v>
      </c>
      <c r="E132" s="44"/>
      <c r="F132" s="44" t="s">
        <v>72</v>
      </c>
      <c r="G132" s="44" t="s">
        <v>72</v>
      </c>
      <c r="H132" s="44" t="s">
        <v>72</v>
      </c>
      <c r="I132" s="44" t="s">
        <v>72</v>
      </c>
      <c r="J132" s="44" t="s">
        <v>72</v>
      </c>
      <c r="K132" s="44" t="s">
        <v>72</v>
      </c>
      <c r="L132" s="44" t="s">
        <v>72</v>
      </c>
      <c r="M132" s="44" t="s">
        <v>72</v>
      </c>
      <c r="N132" s="44" t="s">
        <v>121</v>
      </c>
      <c r="O132" s="44" t="s">
        <v>72</v>
      </c>
      <c r="P132" s="44" t="s">
        <v>72</v>
      </c>
      <c r="Q132" s="45">
        <v>642751</v>
      </c>
      <c r="R132" s="45">
        <v>1171128</v>
      </c>
      <c r="S132" s="46">
        <v>990511</v>
      </c>
    </row>
    <row r="133" spans="1:19" s="21" customFormat="1" ht="38.25">
      <c r="A133" s="16"/>
      <c r="B133" s="17" t="s">
        <v>138</v>
      </c>
      <c r="C133" s="89"/>
      <c r="D133" s="63" t="s">
        <v>72</v>
      </c>
      <c r="E133" s="63" t="s">
        <v>72</v>
      </c>
      <c r="F133" s="63" t="s">
        <v>72</v>
      </c>
      <c r="G133" s="63" t="s">
        <v>72</v>
      </c>
      <c r="H133" s="63" t="s">
        <v>72</v>
      </c>
      <c r="I133" s="63" t="s">
        <v>72</v>
      </c>
      <c r="J133" s="63" t="s">
        <v>72</v>
      </c>
      <c r="K133" s="63" t="s">
        <v>72</v>
      </c>
      <c r="L133" s="63" t="s">
        <v>72</v>
      </c>
      <c r="M133" s="63" t="s">
        <v>72</v>
      </c>
      <c r="N133" s="63" t="s">
        <v>72</v>
      </c>
      <c r="O133" s="63" t="s">
        <v>72</v>
      </c>
      <c r="P133" s="63" t="s">
        <v>72</v>
      </c>
      <c r="Q133" s="37">
        <v>162859.35483870975</v>
      </c>
      <c r="R133" s="37">
        <v>278042.31034482748</v>
      </c>
      <c r="S133" s="38">
        <v>230346</v>
      </c>
    </row>
    <row r="134" spans="1:19" s="21" customFormat="1" ht="25.5">
      <c r="A134" s="16"/>
      <c r="B134" s="17" t="s">
        <v>139</v>
      </c>
      <c r="C134" s="89"/>
      <c r="D134" s="63" t="s">
        <v>72</v>
      </c>
      <c r="E134" s="63" t="s">
        <v>72</v>
      </c>
      <c r="F134" s="63" t="s">
        <v>72</v>
      </c>
      <c r="G134" s="63" t="s">
        <v>72</v>
      </c>
      <c r="H134" s="63" t="s">
        <v>72</v>
      </c>
      <c r="I134" s="63" t="s">
        <v>72</v>
      </c>
      <c r="J134" s="63" t="s">
        <v>72</v>
      </c>
      <c r="K134" s="63" t="s">
        <v>72</v>
      </c>
      <c r="L134" s="63" t="s">
        <v>72</v>
      </c>
      <c r="M134" s="63" t="s">
        <v>72</v>
      </c>
      <c r="N134" s="63" t="s">
        <v>72</v>
      </c>
      <c r="O134" s="63" t="s">
        <v>72</v>
      </c>
      <c r="P134" s="63" t="s">
        <v>72</v>
      </c>
      <c r="Q134" s="97">
        <v>25.337860981734721</v>
      </c>
      <c r="R134" s="97">
        <v>23.741410874373038</v>
      </c>
      <c r="S134" s="98">
        <v>23.26</v>
      </c>
    </row>
    <row r="135" spans="1:19" s="15" customFormat="1" ht="25.5">
      <c r="A135" s="88"/>
      <c r="B135" s="17" t="s">
        <v>140</v>
      </c>
      <c r="C135" s="89"/>
      <c r="D135" s="63" t="s">
        <v>72</v>
      </c>
      <c r="E135" s="63" t="s">
        <v>72</v>
      </c>
      <c r="F135" s="63" t="s">
        <v>72</v>
      </c>
      <c r="G135" s="63" t="s">
        <v>72</v>
      </c>
      <c r="H135" s="63" t="s">
        <v>72</v>
      </c>
      <c r="I135" s="63" t="s">
        <v>72</v>
      </c>
      <c r="J135" s="63" t="s">
        <v>72</v>
      </c>
      <c r="K135" s="63" t="s">
        <v>72</v>
      </c>
      <c r="L135" s="63" t="s">
        <v>72</v>
      </c>
      <c r="M135" s="63" t="s">
        <v>72</v>
      </c>
      <c r="N135" s="63" t="s">
        <v>72</v>
      </c>
      <c r="O135" s="63" t="s">
        <v>72</v>
      </c>
      <c r="P135" s="63" t="s">
        <v>72</v>
      </c>
      <c r="Q135" s="90">
        <v>627.07414634146346</v>
      </c>
      <c r="R135" s="90">
        <v>753.13697749196137</v>
      </c>
      <c r="S135" s="91">
        <v>716.2</v>
      </c>
    </row>
    <row r="136" spans="1:19" s="15" customFormat="1" ht="26.25" thickBot="1">
      <c r="A136" s="101"/>
      <c r="B136" s="71" t="s">
        <v>141</v>
      </c>
      <c r="C136" s="102"/>
      <c r="D136" s="124" t="s">
        <v>72</v>
      </c>
      <c r="E136" s="124" t="s">
        <v>72</v>
      </c>
      <c r="F136" s="124" t="s">
        <v>72</v>
      </c>
      <c r="G136" s="124" t="s">
        <v>72</v>
      </c>
      <c r="H136" s="124" t="s">
        <v>72</v>
      </c>
      <c r="I136" s="124" t="s">
        <v>72</v>
      </c>
      <c r="J136" s="124" t="s">
        <v>72</v>
      </c>
      <c r="K136" s="124" t="s">
        <v>72</v>
      </c>
      <c r="L136" s="124" t="s">
        <v>72</v>
      </c>
      <c r="M136" s="124" t="s">
        <v>72</v>
      </c>
      <c r="N136" s="124" t="s">
        <v>72</v>
      </c>
      <c r="O136" s="124" t="s">
        <v>72</v>
      </c>
      <c r="P136" s="124" t="s">
        <v>72</v>
      </c>
      <c r="Q136" s="151">
        <v>8166.0383634933123</v>
      </c>
      <c r="R136" s="151">
        <v>9984.7824814280975</v>
      </c>
      <c r="S136" s="152">
        <v>9835.98</v>
      </c>
    </row>
    <row r="137" spans="1:19" ht="13.5" thickTop="1">
      <c r="A137" s="153"/>
      <c r="C137" s="155"/>
      <c r="K137" s="31"/>
      <c r="L137" s="31"/>
      <c r="N137" s="31"/>
      <c r="S137" s="31"/>
    </row>
    <row r="138" spans="1:19" s="162" customFormat="1" ht="16.5">
      <c r="A138" s="682" t="s">
        <v>235</v>
      </c>
      <c r="B138" s="682"/>
      <c r="C138" s="682"/>
      <c r="D138" s="682"/>
      <c r="E138" s="682"/>
      <c r="F138" s="682"/>
      <c r="G138" s="682"/>
      <c r="H138" s="682"/>
      <c r="I138" s="682"/>
      <c r="J138" s="682"/>
      <c r="K138" s="682"/>
      <c r="L138" s="682"/>
      <c r="M138" s="682"/>
      <c r="N138" s="682"/>
      <c r="O138" s="682"/>
      <c r="P138" s="682"/>
      <c r="Q138" s="682"/>
      <c r="R138" s="682"/>
      <c r="S138" s="682"/>
    </row>
    <row r="139" spans="1:19" s="162" customFormat="1" ht="24" customHeight="1">
      <c r="A139" s="419"/>
      <c r="B139" s="679" t="s">
        <v>236</v>
      </c>
      <c r="C139" s="679"/>
      <c r="D139" s="679"/>
      <c r="E139" s="679"/>
      <c r="F139" s="679"/>
      <c r="G139" s="679"/>
      <c r="H139" s="679"/>
      <c r="I139" s="679"/>
      <c r="J139" s="679"/>
      <c r="K139" s="679"/>
      <c r="L139" s="679"/>
      <c r="M139" s="679"/>
      <c r="N139" s="679"/>
      <c r="O139" s="679"/>
      <c r="P139" s="679"/>
      <c r="Q139" s="679"/>
      <c r="R139" s="679"/>
      <c r="S139" s="679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L140" s="31"/>
      <c r="N140" s="155"/>
      <c r="O140" s="155"/>
      <c r="P140" s="155"/>
      <c r="Q140" s="158"/>
      <c r="R140" s="159"/>
      <c r="S140" s="31"/>
    </row>
    <row r="141" spans="1:19">
      <c r="A141" s="156"/>
      <c r="B141" s="157"/>
      <c r="C141" s="156"/>
      <c r="D141" s="156"/>
      <c r="E141" s="156"/>
      <c r="F141" s="156"/>
      <c r="G141" s="156"/>
      <c r="H141" s="156"/>
      <c r="I141" s="156"/>
      <c r="J141" s="156"/>
      <c r="K141" s="156"/>
      <c r="L141" s="31"/>
      <c r="N141" s="155"/>
      <c r="O141" s="155"/>
      <c r="P141" s="155"/>
      <c r="Q141" s="158"/>
      <c r="R141" s="159"/>
      <c r="S141" s="31"/>
    </row>
    <row r="142" spans="1:19" ht="25.5" customHeight="1">
      <c r="A142" s="156"/>
      <c r="B142" s="157"/>
      <c r="C142" s="156"/>
      <c r="D142" s="156"/>
      <c r="E142" s="156"/>
      <c r="F142" s="156"/>
      <c r="G142" s="156"/>
      <c r="H142" s="156"/>
      <c r="I142" s="156"/>
      <c r="J142" s="156"/>
      <c r="K142" s="156"/>
      <c r="L142" s="31"/>
      <c r="N142" s="155"/>
      <c r="O142" s="155"/>
      <c r="P142" s="155"/>
      <c r="Q142" s="155"/>
      <c r="R142" s="159"/>
      <c r="S142" s="31"/>
    </row>
    <row r="143" spans="1:19" s="161" customFormat="1" ht="16.5">
      <c r="A143" s="660" t="s">
        <v>223</v>
      </c>
      <c r="B143" s="660"/>
      <c r="C143" s="160"/>
      <c r="D143" s="160"/>
      <c r="E143" s="160"/>
      <c r="F143" s="160"/>
      <c r="G143" s="160"/>
      <c r="I143" s="162"/>
      <c r="J143" s="162"/>
      <c r="K143" s="162"/>
      <c r="L143" s="162"/>
      <c r="M143" s="661" t="s">
        <v>143</v>
      </c>
      <c r="N143" s="661"/>
      <c r="O143" s="661"/>
      <c r="P143" s="661"/>
      <c r="Q143" s="661"/>
      <c r="R143" s="661"/>
      <c r="S143" s="163"/>
    </row>
    <row r="144" spans="1:19" s="161" customFormat="1" ht="16.5">
      <c r="A144" s="660" t="s">
        <v>234</v>
      </c>
      <c r="B144" s="660"/>
      <c r="C144" s="160"/>
      <c r="D144" s="160"/>
      <c r="E144" s="160"/>
      <c r="F144" s="160"/>
      <c r="G144" s="160"/>
      <c r="I144" s="162"/>
      <c r="J144" s="162"/>
      <c r="K144" s="162"/>
      <c r="L144" s="162"/>
      <c r="M144" s="661" t="s">
        <v>144</v>
      </c>
      <c r="N144" s="661"/>
      <c r="O144" s="661"/>
      <c r="P144" s="661"/>
      <c r="Q144" s="661"/>
      <c r="R144" s="661"/>
    </row>
    <row r="145" spans="4:18">
      <c r="K145" s="31"/>
      <c r="L145" s="31"/>
      <c r="N145" s="31"/>
      <c r="R145" s="164"/>
    </row>
    <row r="146" spans="4:18">
      <c r="K146" s="31"/>
      <c r="L146" s="31"/>
      <c r="N146" s="31"/>
    </row>
    <row r="147" spans="4:18">
      <c r="K147" s="31"/>
      <c r="L147" s="31"/>
      <c r="N147" s="31"/>
    </row>
    <row r="148" spans="4:18">
      <c r="K148" s="31"/>
      <c r="L148" s="31"/>
      <c r="N148" s="31"/>
    </row>
    <row r="149" spans="4:18">
      <c r="K149" s="31"/>
      <c r="L149" s="31"/>
      <c r="N149" s="31"/>
    </row>
    <row r="150" spans="4:18">
      <c r="K150" s="31"/>
      <c r="L150" s="31"/>
      <c r="N150" s="31"/>
    </row>
    <row r="151" spans="4:18">
      <c r="K151" s="31"/>
      <c r="L151" s="31"/>
      <c r="N151" s="31"/>
    </row>
    <row r="152" spans="4:18"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</row>
    <row r="153" spans="4:18"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</row>
    <row r="154" spans="4:18"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</row>
    <row r="155" spans="4:18"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</row>
    <row r="156" spans="4:18"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</row>
    <row r="157" spans="4:18"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</row>
    <row r="158" spans="4:18" ht="9.9499999999999993" customHeight="1">
      <c r="E158" s="165"/>
      <c r="K158" s="31"/>
      <c r="L158" s="31"/>
      <c r="N158" s="31"/>
    </row>
    <row r="159" spans="4:18" ht="9.9499999999999993" customHeight="1">
      <c r="E159" s="165"/>
      <c r="K159" s="31"/>
      <c r="L159" s="31"/>
      <c r="N159" s="31"/>
    </row>
    <row r="160" spans="4:18" ht="9.9499999999999993" customHeight="1">
      <c r="E160" s="165"/>
      <c r="K160" s="31"/>
      <c r="L160" s="31"/>
      <c r="N160" s="31"/>
    </row>
    <row r="161" spans="5:14" ht="9.9499999999999993" customHeight="1">
      <c r="E161" s="165"/>
      <c r="K161" s="31"/>
      <c r="L161" s="31"/>
      <c r="N161" s="31"/>
    </row>
    <row r="162" spans="5:14" ht="9.9499999999999993" customHeight="1">
      <c r="E162" s="165"/>
      <c r="K162" s="31"/>
      <c r="L162" s="31"/>
      <c r="N162" s="31"/>
    </row>
    <row r="163" spans="5:14" ht="9.9499999999999993" customHeight="1">
      <c r="E163" s="165"/>
      <c r="K163" s="31"/>
      <c r="L163" s="31"/>
      <c r="N163" s="31"/>
    </row>
    <row r="164" spans="5:14" ht="9.9499999999999993" customHeight="1">
      <c r="E164" s="165"/>
      <c r="K164" s="31"/>
      <c r="L164" s="31"/>
      <c r="N164" s="31"/>
    </row>
  </sheetData>
  <mergeCells count="10">
    <mergeCell ref="A144:B144"/>
    <mergeCell ref="M144:R144"/>
    <mergeCell ref="A1:S1"/>
    <mergeCell ref="A2:S2"/>
    <mergeCell ref="A3:S3"/>
    <mergeCell ref="A117:B117"/>
    <mergeCell ref="A143:B143"/>
    <mergeCell ref="M143:R143"/>
    <mergeCell ref="B139:S139"/>
    <mergeCell ref="A138:S138"/>
  </mergeCells>
  <pageMargins left="0.70866141732283472" right="0.15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2"/>
  <sheetViews>
    <sheetView topLeftCell="A117" zoomScale="85" zoomScaleNormal="85" zoomScaleSheetLayoutView="100" workbookViewId="0">
      <selection activeCell="D136" sqref="D136:S136"/>
    </sheetView>
  </sheetViews>
  <sheetFormatPr defaultRowHeight="14.25"/>
  <cols>
    <col min="1" max="1" width="3.7109375" style="31" customWidth="1"/>
    <col min="2" max="2" width="27.28515625" style="154" customWidth="1"/>
    <col min="3" max="3" width="7.140625" style="31" customWidth="1"/>
    <col min="4" max="4" width="10.7109375" style="31" customWidth="1"/>
    <col min="5" max="5" width="10.42578125" style="31" customWidth="1"/>
    <col min="6" max="6" width="10.5703125" style="31" customWidth="1"/>
    <col min="7" max="7" width="10.42578125" style="31" customWidth="1"/>
    <col min="8" max="10" width="10.5703125" style="31" customWidth="1"/>
    <col min="11" max="13" width="10.42578125" style="31" customWidth="1"/>
    <col min="14" max="14" width="10.5703125" style="31" customWidth="1"/>
    <col min="15" max="15" width="10.28515625" style="31" customWidth="1"/>
    <col min="16" max="16" width="10.140625" style="31" customWidth="1"/>
    <col min="17" max="17" width="11.7109375" style="31" customWidth="1"/>
    <col min="18" max="18" width="12" style="31" customWidth="1"/>
    <col min="19" max="19" width="11.7109375" style="163" customWidth="1"/>
    <col min="20" max="254" width="9.140625" style="31"/>
    <col min="255" max="255" width="3.7109375" style="31" customWidth="1"/>
    <col min="256" max="256" width="30.42578125" style="31" customWidth="1"/>
    <col min="257" max="257" width="7.140625" style="31" customWidth="1"/>
    <col min="258" max="258" width="10.7109375" style="31" customWidth="1"/>
    <col min="259" max="259" width="10.42578125" style="31" customWidth="1"/>
    <col min="260" max="260" width="10.5703125" style="31" customWidth="1"/>
    <col min="261" max="261" width="10.42578125" style="31" customWidth="1"/>
    <col min="262" max="264" width="10.5703125" style="31" customWidth="1"/>
    <col min="265" max="267" width="10.42578125" style="31" customWidth="1"/>
    <col min="268" max="268" width="10.5703125" style="31" customWidth="1"/>
    <col min="269" max="269" width="10.28515625" style="31" customWidth="1"/>
    <col min="270" max="270" width="10.140625" style="31" customWidth="1"/>
    <col min="271" max="271" width="11.7109375" style="31" customWidth="1"/>
    <col min="272" max="272" width="12.42578125" style="31" customWidth="1"/>
    <col min="273" max="273" width="11.7109375" style="31" customWidth="1"/>
    <col min="274" max="274" width="13.140625" style="31" customWidth="1"/>
    <col min="275" max="510" width="9.140625" style="31"/>
    <col min="511" max="511" width="3.7109375" style="31" customWidth="1"/>
    <col min="512" max="512" width="30.42578125" style="31" customWidth="1"/>
    <col min="513" max="513" width="7.140625" style="31" customWidth="1"/>
    <col min="514" max="514" width="10.7109375" style="31" customWidth="1"/>
    <col min="515" max="515" width="10.42578125" style="31" customWidth="1"/>
    <col min="516" max="516" width="10.5703125" style="31" customWidth="1"/>
    <col min="517" max="517" width="10.42578125" style="31" customWidth="1"/>
    <col min="518" max="520" width="10.5703125" style="31" customWidth="1"/>
    <col min="521" max="523" width="10.42578125" style="31" customWidth="1"/>
    <col min="524" max="524" width="10.5703125" style="31" customWidth="1"/>
    <col min="525" max="525" width="10.28515625" style="31" customWidth="1"/>
    <col min="526" max="526" width="10.140625" style="31" customWidth="1"/>
    <col min="527" max="527" width="11.7109375" style="31" customWidth="1"/>
    <col min="528" max="528" width="12.42578125" style="31" customWidth="1"/>
    <col min="529" max="529" width="11.7109375" style="31" customWidth="1"/>
    <col min="530" max="530" width="13.140625" style="31" customWidth="1"/>
    <col min="531" max="766" width="9.140625" style="31"/>
    <col min="767" max="767" width="3.7109375" style="31" customWidth="1"/>
    <col min="768" max="768" width="30.42578125" style="31" customWidth="1"/>
    <col min="769" max="769" width="7.140625" style="31" customWidth="1"/>
    <col min="770" max="770" width="10.7109375" style="31" customWidth="1"/>
    <col min="771" max="771" width="10.42578125" style="31" customWidth="1"/>
    <col min="772" max="772" width="10.5703125" style="31" customWidth="1"/>
    <col min="773" max="773" width="10.42578125" style="31" customWidth="1"/>
    <col min="774" max="776" width="10.5703125" style="31" customWidth="1"/>
    <col min="777" max="779" width="10.42578125" style="31" customWidth="1"/>
    <col min="780" max="780" width="10.5703125" style="31" customWidth="1"/>
    <col min="781" max="781" width="10.28515625" style="31" customWidth="1"/>
    <col min="782" max="782" width="10.140625" style="31" customWidth="1"/>
    <col min="783" max="783" width="11.7109375" style="31" customWidth="1"/>
    <col min="784" max="784" width="12.42578125" style="31" customWidth="1"/>
    <col min="785" max="785" width="11.7109375" style="31" customWidth="1"/>
    <col min="786" max="786" width="13.140625" style="31" customWidth="1"/>
    <col min="787" max="1022" width="9.140625" style="31"/>
    <col min="1023" max="1023" width="3.7109375" style="31" customWidth="1"/>
    <col min="1024" max="1024" width="30.42578125" style="31" customWidth="1"/>
    <col min="1025" max="1025" width="7.140625" style="31" customWidth="1"/>
    <col min="1026" max="1026" width="10.7109375" style="31" customWidth="1"/>
    <col min="1027" max="1027" width="10.42578125" style="31" customWidth="1"/>
    <col min="1028" max="1028" width="10.5703125" style="31" customWidth="1"/>
    <col min="1029" max="1029" width="10.42578125" style="31" customWidth="1"/>
    <col min="1030" max="1032" width="10.5703125" style="31" customWidth="1"/>
    <col min="1033" max="1035" width="10.42578125" style="31" customWidth="1"/>
    <col min="1036" max="1036" width="10.5703125" style="31" customWidth="1"/>
    <col min="1037" max="1037" width="10.28515625" style="31" customWidth="1"/>
    <col min="1038" max="1038" width="10.140625" style="31" customWidth="1"/>
    <col min="1039" max="1039" width="11.7109375" style="31" customWidth="1"/>
    <col min="1040" max="1040" width="12.42578125" style="31" customWidth="1"/>
    <col min="1041" max="1041" width="11.7109375" style="31" customWidth="1"/>
    <col min="1042" max="1042" width="13.140625" style="31" customWidth="1"/>
    <col min="1043" max="1278" width="9.140625" style="31"/>
    <col min="1279" max="1279" width="3.7109375" style="31" customWidth="1"/>
    <col min="1280" max="1280" width="30.42578125" style="31" customWidth="1"/>
    <col min="1281" max="1281" width="7.140625" style="31" customWidth="1"/>
    <col min="1282" max="1282" width="10.7109375" style="31" customWidth="1"/>
    <col min="1283" max="1283" width="10.42578125" style="31" customWidth="1"/>
    <col min="1284" max="1284" width="10.5703125" style="31" customWidth="1"/>
    <col min="1285" max="1285" width="10.42578125" style="31" customWidth="1"/>
    <col min="1286" max="1288" width="10.5703125" style="31" customWidth="1"/>
    <col min="1289" max="1291" width="10.42578125" style="31" customWidth="1"/>
    <col min="1292" max="1292" width="10.5703125" style="31" customWidth="1"/>
    <col min="1293" max="1293" width="10.28515625" style="31" customWidth="1"/>
    <col min="1294" max="1294" width="10.140625" style="31" customWidth="1"/>
    <col min="1295" max="1295" width="11.7109375" style="31" customWidth="1"/>
    <col min="1296" max="1296" width="12.42578125" style="31" customWidth="1"/>
    <col min="1297" max="1297" width="11.7109375" style="31" customWidth="1"/>
    <col min="1298" max="1298" width="13.140625" style="31" customWidth="1"/>
    <col min="1299" max="1534" width="9.140625" style="31"/>
    <col min="1535" max="1535" width="3.7109375" style="31" customWidth="1"/>
    <col min="1536" max="1536" width="30.42578125" style="31" customWidth="1"/>
    <col min="1537" max="1537" width="7.140625" style="31" customWidth="1"/>
    <col min="1538" max="1538" width="10.7109375" style="31" customWidth="1"/>
    <col min="1539" max="1539" width="10.42578125" style="31" customWidth="1"/>
    <col min="1540" max="1540" width="10.5703125" style="31" customWidth="1"/>
    <col min="1541" max="1541" width="10.42578125" style="31" customWidth="1"/>
    <col min="1542" max="1544" width="10.5703125" style="31" customWidth="1"/>
    <col min="1545" max="1547" width="10.42578125" style="31" customWidth="1"/>
    <col min="1548" max="1548" width="10.5703125" style="31" customWidth="1"/>
    <col min="1549" max="1549" width="10.28515625" style="31" customWidth="1"/>
    <col min="1550" max="1550" width="10.140625" style="31" customWidth="1"/>
    <col min="1551" max="1551" width="11.7109375" style="31" customWidth="1"/>
    <col min="1552" max="1552" width="12.42578125" style="31" customWidth="1"/>
    <col min="1553" max="1553" width="11.7109375" style="31" customWidth="1"/>
    <col min="1554" max="1554" width="13.140625" style="31" customWidth="1"/>
    <col min="1555" max="1790" width="9.140625" style="31"/>
    <col min="1791" max="1791" width="3.7109375" style="31" customWidth="1"/>
    <col min="1792" max="1792" width="30.42578125" style="31" customWidth="1"/>
    <col min="1793" max="1793" width="7.140625" style="31" customWidth="1"/>
    <col min="1794" max="1794" width="10.7109375" style="31" customWidth="1"/>
    <col min="1795" max="1795" width="10.42578125" style="31" customWidth="1"/>
    <col min="1796" max="1796" width="10.5703125" style="31" customWidth="1"/>
    <col min="1797" max="1797" width="10.42578125" style="31" customWidth="1"/>
    <col min="1798" max="1800" width="10.5703125" style="31" customWidth="1"/>
    <col min="1801" max="1803" width="10.42578125" style="31" customWidth="1"/>
    <col min="1804" max="1804" width="10.5703125" style="31" customWidth="1"/>
    <col min="1805" max="1805" width="10.28515625" style="31" customWidth="1"/>
    <col min="1806" max="1806" width="10.140625" style="31" customWidth="1"/>
    <col min="1807" max="1807" width="11.7109375" style="31" customWidth="1"/>
    <col min="1808" max="1808" width="12.42578125" style="31" customWidth="1"/>
    <col min="1809" max="1809" width="11.7109375" style="31" customWidth="1"/>
    <col min="1810" max="1810" width="13.140625" style="31" customWidth="1"/>
    <col min="1811" max="2046" width="9.140625" style="31"/>
    <col min="2047" max="2047" width="3.7109375" style="31" customWidth="1"/>
    <col min="2048" max="2048" width="30.42578125" style="31" customWidth="1"/>
    <col min="2049" max="2049" width="7.140625" style="31" customWidth="1"/>
    <col min="2050" max="2050" width="10.7109375" style="31" customWidth="1"/>
    <col min="2051" max="2051" width="10.42578125" style="31" customWidth="1"/>
    <col min="2052" max="2052" width="10.5703125" style="31" customWidth="1"/>
    <col min="2053" max="2053" width="10.42578125" style="31" customWidth="1"/>
    <col min="2054" max="2056" width="10.5703125" style="31" customWidth="1"/>
    <col min="2057" max="2059" width="10.42578125" style="31" customWidth="1"/>
    <col min="2060" max="2060" width="10.5703125" style="31" customWidth="1"/>
    <col min="2061" max="2061" width="10.28515625" style="31" customWidth="1"/>
    <col min="2062" max="2062" width="10.140625" style="31" customWidth="1"/>
    <col min="2063" max="2063" width="11.7109375" style="31" customWidth="1"/>
    <col min="2064" max="2064" width="12.42578125" style="31" customWidth="1"/>
    <col min="2065" max="2065" width="11.7109375" style="31" customWidth="1"/>
    <col min="2066" max="2066" width="13.140625" style="31" customWidth="1"/>
    <col min="2067" max="2302" width="9.140625" style="31"/>
    <col min="2303" max="2303" width="3.7109375" style="31" customWidth="1"/>
    <col min="2304" max="2304" width="30.42578125" style="31" customWidth="1"/>
    <col min="2305" max="2305" width="7.140625" style="31" customWidth="1"/>
    <col min="2306" max="2306" width="10.7109375" style="31" customWidth="1"/>
    <col min="2307" max="2307" width="10.42578125" style="31" customWidth="1"/>
    <col min="2308" max="2308" width="10.5703125" style="31" customWidth="1"/>
    <col min="2309" max="2309" width="10.42578125" style="31" customWidth="1"/>
    <col min="2310" max="2312" width="10.5703125" style="31" customWidth="1"/>
    <col min="2313" max="2315" width="10.42578125" style="31" customWidth="1"/>
    <col min="2316" max="2316" width="10.5703125" style="31" customWidth="1"/>
    <col min="2317" max="2317" width="10.28515625" style="31" customWidth="1"/>
    <col min="2318" max="2318" width="10.140625" style="31" customWidth="1"/>
    <col min="2319" max="2319" width="11.7109375" style="31" customWidth="1"/>
    <col min="2320" max="2320" width="12.42578125" style="31" customWidth="1"/>
    <col min="2321" max="2321" width="11.7109375" style="31" customWidth="1"/>
    <col min="2322" max="2322" width="13.140625" style="31" customWidth="1"/>
    <col min="2323" max="2558" width="9.140625" style="31"/>
    <col min="2559" max="2559" width="3.7109375" style="31" customWidth="1"/>
    <col min="2560" max="2560" width="30.42578125" style="31" customWidth="1"/>
    <col min="2561" max="2561" width="7.140625" style="31" customWidth="1"/>
    <col min="2562" max="2562" width="10.7109375" style="31" customWidth="1"/>
    <col min="2563" max="2563" width="10.42578125" style="31" customWidth="1"/>
    <col min="2564" max="2564" width="10.5703125" style="31" customWidth="1"/>
    <col min="2565" max="2565" width="10.42578125" style="31" customWidth="1"/>
    <col min="2566" max="2568" width="10.5703125" style="31" customWidth="1"/>
    <col min="2569" max="2571" width="10.42578125" style="31" customWidth="1"/>
    <col min="2572" max="2572" width="10.5703125" style="31" customWidth="1"/>
    <col min="2573" max="2573" width="10.28515625" style="31" customWidth="1"/>
    <col min="2574" max="2574" width="10.140625" style="31" customWidth="1"/>
    <col min="2575" max="2575" width="11.7109375" style="31" customWidth="1"/>
    <col min="2576" max="2576" width="12.42578125" style="31" customWidth="1"/>
    <col min="2577" max="2577" width="11.7109375" style="31" customWidth="1"/>
    <col min="2578" max="2578" width="13.140625" style="31" customWidth="1"/>
    <col min="2579" max="2814" width="9.140625" style="31"/>
    <col min="2815" max="2815" width="3.7109375" style="31" customWidth="1"/>
    <col min="2816" max="2816" width="30.42578125" style="31" customWidth="1"/>
    <col min="2817" max="2817" width="7.140625" style="31" customWidth="1"/>
    <col min="2818" max="2818" width="10.7109375" style="31" customWidth="1"/>
    <col min="2819" max="2819" width="10.42578125" style="31" customWidth="1"/>
    <col min="2820" max="2820" width="10.5703125" style="31" customWidth="1"/>
    <col min="2821" max="2821" width="10.42578125" style="31" customWidth="1"/>
    <col min="2822" max="2824" width="10.5703125" style="31" customWidth="1"/>
    <col min="2825" max="2827" width="10.42578125" style="31" customWidth="1"/>
    <col min="2828" max="2828" width="10.5703125" style="31" customWidth="1"/>
    <col min="2829" max="2829" width="10.28515625" style="31" customWidth="1"/>
    <col min="2830" max="2830" width="10.140625" style="31" customWidth="1"/>
    <col min="2831" max="2831" width="11.7109375" style="31" customWidth="1"/>
    <col min="2832" max="2832" width="12.42578125" style="31" customWidth="1"/>
    <col min="2833" max="2833" width="11.7109375" style="31" customWidth="1"/>
    <col min="2834" max="2834" width="13.140625" style="31" customWidth="1"/>
    <col min="2835" max="3070" width="9.140625" style="31"/>
    <col min="3071" max="3071" width="3.7109375" style="31" customWidth="1"/>
    <col min="3072" max="3072" width="30.42578125" style="31" customWidth="1"/>
    <col min="3073" max="3073" width="7.140625" style="31" customWidth="1"/>
    <col min="3074" max="3074" width="10.7109375" style="31" customWidth="1"/>
    <col min="3075" max="3075" width="10.42578125" style="31" customWidth="1"/>
    <col min="3076" max="3076" width="10.5703125" style="31" customWidth="1"/>
    <col min="3077" max="3077" width="10.42578125" style="31" customWidth="1"/>
    <col min="3078" max="3080" width="10.5703125" style="31" customWidth="1"/>
    <col min="3081" max="3083" width="10.42578125" style="31" customWidth="1"/>
    <col min="3084" max="3084" width="10.5703125" style="31" customWidth="1"/>
    <col min="3085" max="3085" width="10.28515625" style="31" customWidth="1"/>
    <col min="3086" max="3086" width="10.140625" style="31" customWidth="1"/>
    <col min="3087" max="3087" width="11.7109375" style="31" customWidth="1"/>
    <col min="3088" max="3088" width="12.42578125" style="31" customWidth="1"/>
    <col min="3089" max="3089" width="11.7109375" style="31" customWidth="1"/>
    <col min="3090" max="3090" width="13.140625" style="31" customWidth="1"/>
    <col min="3091" max="3326" width="9.140625" style="31"/>
    <col min="3327" max="3327" width="3.7109375" style="31" customWidth="1"/>
    <col min="3328" max="3328" width="30.42578125" style="31" customWidth="1"/>
    <col min="3329" max="3329" width="7.140625" style="31" customWidth="1"/>
    <col min="3330" max="3330" width="10.7109375" style="31" customWidth="1"/>
    <col min="3331" max="3331" width="10.42578125" style="31" customWidth="1"/>
    <col min="3332" max="3332" width="10.5703125" style="31" customWidth="1"/>
    <col min="3333" max="3333" width="10.42578125" style="31" customWidth="1"/>
    <col min="3334" max="3336" width="10.5703125" style="31" customWidth="1"/>
    <col min="3337" max="3339" width="10.42578125" style="31" customWidth="1"/>
    <col min="3340" max="3340" width="10.5703125" style="31" customWidth="1"/>
    <col min="3341" max="3341" width="10.28515625" style="31" customWidth="1"/>
    <col min="3342" max="3342" width="10.140625" style="31" customWidth="1"/>
    <col min="3343" max="3343" width="11.7109375" style="31" customWidth="1"/>
    <col min="3344" max="3344" width="12.42578125" style="31" customWidth="1"/>
    <col min="3345" max="3345" width="11.7109375" style="31" customWidth="1"/>
    <col min="3346" max="3346" width="13.140625" style="31" customWidth="1"/>
    <col min="3347" max="3582" width="9.140625" style="31"/>
    <col min="3583" max="3583" width="3.7109375" style="31" customWidth="1"/>
    <col min="3584" max="3584" width="30.42578125" style="31" customWidth="1"/>
    <col min="3585" max="3585" width="7.140625" style="31" customWidth="1"/>
    <col min="3586" max="3586" width="10.7109375" style="31" customWidth="1"/>
    <col min="3587" max="3587" width="10.42578125" style="31" customWidth="1"/>
    <col min="3588" max="3588" width="10.5703125" style="31" customWidth="1"/>
    <col min="3589" max="3589" width="10.42578125" style="31" customWidth="1"/>
    <col min="3590" max="3592" width="10.5703125" style="31" customWidth="1"/>
    <col min="3593" max="3595" width="10.42578125" style="31" customWidth="1"/>
    <col min="3596" max="3596" width="10.5703125" style="31" customWidth="1"/>
    <col min="3597" max="3597" width="10.28515625" style="31" customWidth="1"/>
    <col min="3598" max="3598" width="10.140625" style="31" customWidth="1"/>
    <col min="3599" max="3599" width="11.7109375" style="31" customWidth="1"/>
    <col min="3600" max="3600" width="12.42578125" style="31" customWidth="1"/>
    <col min="3601" max="3601" width="11.7109375" style="31" customWidth="1"/>
    <col min="3602" max="3602" width="13.140625" style="31" customWidth="1"/>
    <col min="3603" max="3838" width="9.140625" style="31"/>
    <col min="3839" max="3839" width="3.7109375" style="31" customWidth="1"/>
    <col min="3840" max="3840" width="30.42578125" style="31" customWidth="1"/>
    <col min="3841" max="3841" width="7.140625" style="31" customWidth="1"/>
    <col min="3842" max="3842" width="10.7109375" style="31" customWidth="1"/>
    <col min="3843" max="3843" width="10.42578125" style="31" customWidth="1"/>
    <col min="3844" max="3844" width="10.5703125" style="31" customWidth="1"/>
    <col min="3845" max="3845" width="10.42578125" style="31" customWidth="1"/>
    <col min="3846" max="3848" width="10.5703125" style="31" customWidth="1"/>
    <col min="3849" max="3851" width="10.42578125" style="31" customWidth="1"/>
    <col min="3852" max="3852" width="10.5703125" style="31" customWidth="1"/>
    <col min="3853" max="3853" width="10.28515625" style="31" customWidth="1"/>
    <col min="3854" max="3854" width="10.140625" style="31" customWidth="1"/>
    <col min="3855" max="3855" width="11.7109375" style="31" customWidth="1"/>
    <col min="3856" max="3856" width="12.42578125" style="31" customWidth="1"/>
    <col min="3857" max="3857" width="11.7109375" style="31" customWidth="1"/>
    <col min="3858" max="3858" width="13.140625" style="31" customWidth="1"/>
    <col min="3859" max="4094" width="9.140625" style="31"/>
    <col min="4095" max="4095" width="3.7109375" style="31" customWidth="1"/>
    <col min="4096" max="4096" width="30.42578125" style="31" customWidth="1"/>
    <col min="4097" max="4097" width="7.140625" style="31" customWidth="1"/>
    <col min="4098" max="4098" width="10.7109375" style="31" customWidth="1"/>
    <col min="4099" max="4099" width="10.42578125" style="31" customWidth="1"/>
    <col min="4100" max="4100" width="10.5703125" style="31" customWidth="1"/>
    <col min="4101" max="4101" width="10.42578125" style="31" customWidth="1"/>
    <col min="4102" max="4104" width="10.5703125" style="31" customWidth="1"/>
    <col min="4105" max="4107" width="10.42578125" style="31" customWidth="1"/>
    <col min="4108" max="4108" width="10.5703125" style="31" customWidth="1"/>
    <col min="4109" max="4109" width="10.28515625" style="31" customWidth="1"/>
    <col min="4110" max="4110" width="10.140625" style="31" customWidth="1"/>
    <col min="4111" max="4111" width="11.7109375" style="31" customWidth="1"/>
    <col min="4112" max="4112" width="12.42578125" style="31" customWidth="1"/>
    <col min="4113" max="4113" width="11.7109375" style="31" customWidth="1"/>
    <col min="4114" max="4114" width="13.140625" style="31" customWidth="1"/>
    <col min="4115" max="4350" width="9.140625" style="31"/>
    <col min="4351" max="4351" width="3.7109375" style="31" customWidth="1"/>
    <col min="4352" max="4352" width="30.42578125" style="31" customWidth="1"/>
    <col min="4353" max="4353" width="7.140625" style="31" customWidth="1"/>
    <col min="4354" max="4354" width="10.7109375" style="31" customWidth="1"/>
    <col min="4355" max="4355" width="10.42578125" style="31" customWidth="1"/>
    <col min="4356" max="4356" width="10.5703125" style="31" customWidth="1"/>
    <col min="4357" max="4357" width="10.42578125" style="31" customWidth="1"/>
    <col min="4358" max="4360" width="10.5703125" style="31" customWidth="1"/>
    <col min="4361" max="4363" width="10.42578125" style="31" customWidth="1"/>
    <col min="4364" max="4364" width="10.5703125" style="31" customWidth="1"/>
    <col min="4365" max="4365" width="10.28515625" style="31" customWidth="1"/>
    <col min="4366" max="4366" width="10.140625" style="31" customWidth="1"/>
    <col min="4367" max="4367" width="11.7109375" style="31" customWidth="1"/>
    <col min="4368" max="4368" width="12.42578125" style="31" customWidth="1"/>
    <col min="4369" max="4369" width="11.7109375" style="31" customWidth="1"/>
    <col min="4370" max="4370" width="13.140625" style="31" customWidth="1"/>
    <col min="4371" max="4606" width="9.140625" style="31"/>
    <col min="4607" max="4607" width="3.7109375" style="31" customWidth="1"/>
    <col min="4608" max="4608" width="30.42578125" style="31" customWidth="1"/>
    <col min="4609" max="4609" width="7.140625" style="31" customWidth="1"/>
    <col min="4610" max="4610" width="10.7109375" style="31" customWidth="1"/>
    <col min="4611" max="4611" width="10.42578125" style="31" customWidth="1"/>
    <col min="4612" max="4612" width="10.5703125" style="31" customWidth="1"/>
    <col min="4613" max="4613" width="10.42578125" style="31" customWidth="1"/>
    <col min="4614" max="4616" width="10.5703125" style="31" customWidth="1"/>
    <col min="4617" max="4619" width="10.42578125" style="31" customWidth="1"/>
    <col min="4620" max="4620" width="10.5703125" style="31" customWidth="1"/>
    <col min="4621" max="4621" width="10.28515625" style="31" customWidth="1"/>
    <col min="4622" max="4622" width="10.140625" style="31" customWidth="1"/>
    <col min="4623" max="4623" width="11.7109375" style="31" customWidth="1"/>
    <col min="4624" max="4624" width="12.42578125" style="31" customWidth="1"/>
    <col min="4625" max="4625" width="11.7109375" style="31" customWidth="1"/>
    <col min="4626" max="4626" width="13.140625" style="31" customWidth="1"/>
    <col min="4627" max="4862" width="9.140625" style="31"/>
    <col min="4863" max="4863" width="3.7109375" style="31" customWidth="1"/>
    <col min="4864" max="4864" width="30.42578125" style="31" customWidth="1"/>
    <col min="4865" max="4865" width="7.140625" style="31" customWidth="1"/>
    <col min="4866" max="4866" width="10.7109375" style="31" customWidth="1"/>
    <col min="4867" max="4867" width="10.42578125" style="31" customWidth="1"/>
    <col min="4868" max="4868" width="10.5703125" style="31" customWidth="1"/>
    <col min="4869" max="4869" width="10.42578125" style="31" customWidth="1"/>
    <col min="4870" max="4872" width="10.5703125" style="31" customWidth="1"/>
    <col min="4873" max="4875" width="10.42578125" style="31" customWidth="1"/>
    <col min="4876" max="4876" width="10.5703125" style="31" customWidth="1"/>
    <col min="4877" max="4877" width="10.28515625" style="31" customWidth="1"/>
    <col min="4878" max="4878" width="10.140625" style="31" customWidth="1"/>
    <col min="4879" max="4879" width="11.7109375" style="31" customWidth="1"/>
    <col min="4880" max="4880" width="12.42578125" style="31" customWidth="1"/>
    <col min="4881" max="4881" width="11.7109375" style="31" customWidth="1"/>
    <col min="4882" max="4882" width="13.140625" style="31" customWidth="1"/>
    <col min="4883" max="5118" width="9.140625" style="31"/>
    <col min="5119" max="5119" width="3.7109375" style="31" customWidth="1"/>
    <col min="5120" max="5120" width="30.42578125" style="31" customWidth="1"/>
    <col min="5121" max="5121" width="7.140625" style="31" customWidth="1"/>
    <col min="5122" max="5122" width="10.7109375" style="31" customWidth="1"/>
    <col min="5123" max="5123" width="10.42578125" style="31" customWidth="1"/>
    <col min="5124" max="5124" width="10.5703125" style="31" customWidth="1"/>
    <col min="5125" max="5125" width="10.42578125" style="31" customWidth="1"/>
    <col min="5126" max="5128" width="10.5703125" style="31" customWidth="1"/>
    <col min="5129" max="5131" width="10.42578125" style="31" customWidth="1"/>
    <col min="5132" max="5132" width="10.5703125" style="31" customWidth="1"/>
    <col min="5133" max="5133" width="10.28515625" style="31" customWidth="1"/>
    <col min="5134" max="5134" width="10.140625" style="31" customWidth="1"/>
    <col min="5135" max="5135" width="11.7109375" style="31" customWidth="1"/>
    <col min="5136" max="5136" width="12.42578125" style="31" customWidth="1"/>
    <col min="5137" max="5137" width="11.7109375" style="31" customWidth="1"/>
    <col min="5138" max="5138" width="13.140625" style="31" customWidth="1"/>
    <col min="5139" max="5374" width="9.140625" style="31"/>
    <col min="5375" max="5375" width="3.7109375" style="31" customWidth="1"/>
    <col min="5376" max="5376" width="30.42578125" style="31" customWidth="1"/>
    <col min="5377" max="5377" width="7.140625" style="31" customWidth="1"/>
    <col min="5378" max="5378" width="10.7109375" style="31" customWidth="1"/>
    <col min="5379" max="5379" width="10.42578125" style="31" customWidth="1"/>
    <col min="5380" max="5380" width="10.5703125" style="31" customWidth="1"/>
    <col min="5381" max="5381" width="10.42578125" style="31" customWidth="1"/>
    <col min="5382" max="5384" width="10.5703125" style="31" customWidth="1"/>
    <col min="5385" max="5387" width="10.42578125" style="31" customWidth="1"/>
    <col min="5388" max="5388" width="10.5703125" style="31" customWidth="1"/>
    <col min="5389" max="5389" width="10.28515625" style="31" customWidth="1"/>
    <col min="5390" max="5390" width="10.140625" style="31" customWidth="1"/>
    <col min="5391" max="5391" width="11.7109375" style="31" customWidth="1"/>
    <col min="5392" max="5392" width="12.42578125" style="31" customWidth="1"/>
    <col min="5393" max="5393" width="11.7109375" style="31" customWidth="1"/>
    <col min="5394" max="5394" width="13.140625" style="31" customWidth="1"/>
    <col min="5395" max="5630" width="9.140625" style="31"/>
    <col min="5631" max="5631" width="3.7109375" style="31" customWidth="1"/>
    <col min="5632" max="5632" width="30.42578125" style="31" customWidth="1"/>
    <col min="5633" max="5633" width="7.140625" style="31" customWidth="1"/>
    <col min="5634" max="5634" width="10.7109375" style="31" customWidth="1"/>
    <col min="5635" max="5635" width="10.42578125" style="31" customWidth="1"/>
    <col min="5636" max="5636" width="10.5703125" style="31" customWidth="1"/>
    <col min="5637" max="5637" width="10.42578125" style="31" customWidth="1"/>
    <col min="5638" max="5640" width="10.5703125" style="31" customWidth="1"/>
    <col min="5641" max="5643" width="10.42578125" style="31" customWidth="1"/>
    <col min="5644" max="5644" width="10.5703125" style="31" customWidth="1"/>
    <col min="5645" max="5645" width="10.28515625" style="31" customWidth="1"/>
    <col min="5646" max="5646" width="10.140625" style="31" customWidth="1"/>
    <col min="5647" max="5647" width="11.7109375" style="31" customWidth="1"/>
    <col min="5648" max="5648" width="12.42578125" style="31" customWidth="1"/>
    <col min="5649" max="5649" width="11.7109375" style="31" customWidth="1"/>
    <col min="5650" max="5650" width="13.140625" style="31" customWidth="1"/>
    <col min="5651" max="5886" width="9.140625" style="31"/>
    <col min="5887" max="5887" width="3.7109375" style="31" customWidth="1"/>
    <col min="5888" max="5888" width="30.42578125" style="31" customWidth="1"/>
    <col min="5889" max="5889" width="7.140625" style="31" customWidth="1"/>
    <col min="5890" max="5890" width="10.7109375" style="31" customWidth="1"/>
    <col min="5891" max="5891" width="10.42578125" style="31" customWidth="1"/>
    <col min="5892" max="5892" width="10.5703125" style="31" customWidth="1"/>
    <col min="5893" max="5893" width="10.42578125" style="31" customWidth="1"/>
    <col min="5894" max="5896" width="10.5703125" style="31" customWidth="1"/>
    <col min="5897" max="5899" width="10.42578125" style="31" customWidth="1"/>
    <col min="5900" max="5900" width="10.5703125" style="31" customWidth="1"/>
    <col min="5901" max="5901" width="10.28515625" style="31" customWidth="1"/>
    <col min="5902" max="5902" width="10.140625" style="31" customWidth="1"/>
    <col min="5903" max="5903" width="11.7109375" style="31" customWidth="1"/>
    <col min="5904" max="5904" width="12.42578125" style="31" customWidth="1"/>
    <col min="5905" max="5905" width="11.7109375" style="31" customWidth="1"/>
    <col min="5906" max="5906" width="13.140625" style="31" customWidth="1"/>
    <col min="5907" max="6142" width="9.140625" style="31"/>
    <col min="6143" max="6143" width="3.7109375" style="31" customWidth="1"/>
    <col min="6144" max="6144" width="30.42578125" style="31" customWidth="1"/>
    <col min="6145" max="6145" width="7.140625" style="31" customWidth="1"/>
    <col min="6146" max="6146" width="10.7109375" style="31" customWidth="1"/>
    <col min="6147" max="6147" width="10.42578125" style="31" customWidth="1"/>
    <col min="6148" max="6148" width="10.5703125" style="31" customWidth="1"/>
    <col min="6149" max="6149" width="10.42578125" style="31" customWidth="1"/>
    <col min="6150" max="6152" width="10.5703125" style="31" customWidth="1"/>
    <col min="6153" max="6155" width="10.42578125" style="31" customWidth="1"/>
    <col min="6156" max="6156" width="10.5703125" style="31" customWidth="1"/>
    <col min="6157" max="6157" width="10.28515625" style="31" customWidth="1"/>
    <col min="6158" max="6158" width="10.140625" style="31" customWidth="1"/>
    <col min="6159" max="6159" width="11.7109375" style="31" customWidth="1"/>
    <col min="6160" max="6160" width="12.42578125" style="31" customWidth="1"/>
    <col min="6161" max="6161" width="11.7109375" style="31" customWidth="1"/>
    <col min="6162" max="6162" width="13.140625" style="31" customWidth="1"/>
    <col min="6163" max="6398" width="9.140625" style="31"/>
    <col min="6399" max="6399" width="3.7109375" style="31" customWidth="1"/>
    <col min="6400" max="6400" width="30.42578125" style="31" customWidth="1"/>
    <col min="6401" max="6401" width="7.140625" style="31" customWidth="1"/>
    <col min="6402" max="6402" width="10.7109375" style="31" customWidth="1"/>
    <col min="6403" max="6403" width="10.42578125" style="31" customWidth="1"/>
    <col min="6404" max="6404" width="10.5703125" style="31" customWidth="1"/>
    <col min="6405" max="6405" width="10.42578125" style="31" customWidth="1"/>
    <col min="6406" max="6408" width="10.5703125" style="31" customWidth="1"/>
    <col min="6409" max="6411" width="10.42578125" style="31" customWidth="1"/>
    <col min="6412" max="6412" width="10.5703125" style="31" customWidth="1"/>
    <col min="6413" max="6413" width="10.28515625" style="31" customWidth="1"/>
    <col min="6414" max="6414" width="10.140625" style="31" customWidth="1"/>
    <col min="6415" max="6415" width="11.7109375" style="31" customWidth="1"/>
    <col min="6416" max="6416" width="12.42578125" style="31" customWidth="1"/>
    <col min="6417" max="6417" width="11.7109375" style="31" customWidth="1"/>
    <col min="6418" max="6418" width="13.140625" style="31" customWidth="1"/>
    <col min="6419" max="6654" width="9.140625" style="31"/>
    <col min="6655" max="6655" width="3.7109375" style="31" customWidth="1"/>
    <col min="6656" max="6656" width="30.42578125" style="31" customWidth="1"/>
    <col min="6657" max="6657" width="7.140625" style="31" customWidth="1"/>
    <col min="6658" max="6658" width="10.7109375" style="31" customWidth="1"/>
    <col min="6659" max="6659" width="10.42578125" style="31" customWidth="1"/>
    <col min="6660" max="6660" width="10.5703125" style="31" customWidth="1"/>
    <col min="6661" max="6661" width="10.42578125" style="31" customWidth="1"/>
    <col min="6662" max="6664" width="10.5703125" style="31" customWidth="1"/>
    <col min="6665" max="6667" width="10.42578125" style="31" customWidth="1"/>
    <col min="6668" max="6668" width="10.5703125" style="31" customWidth="1"/>
    <col min="6669" max="6669" width="10.28515625" style="31" customWidth="1"/>
    <col min="6670" max="6670" width="10.140625" style="31" customWidth="1"/>
    <col min="6671" max="6671" width="11.7109375" style="31" customWidth="1"/>
    <col min="6672" max="6672" width="12.42578125" style="31" customWidth="1"/>
    <col min="6673" max="6673" width="11.7109375" style="31" customWidth="1"/>
    <col min="6674" max="6674" width="13.140625" style="31" customWidth="1"/>
    <col min="6675" max="6910" width="9.140625" style="31"/>
    <col min="6911" max="6911" width="3.7109375" style="31" customWidth="1"/>
    <col min="6912" max="6912" width="30.42578125" style="31" customWidth="1"/>
    <col min="6913" max="6913" width="7.140625" style="31" customWidth="1"/>
    <col min="6914" max="6914" width="10.7109375" style="31" customWidth="1"/>
    <col min="6915" max="6915" width="10.42578125" style="31" customWidth="1"/>
    <col min="6916" max="6916" width="10.5703125" style="31" customWidth="1"/>
    <col min="6917" max="6917" width="10.42578125" style="31" customWidth="1"/>
    <col min="6918" max="6920" width="10.5703125" style="31" customWidth="1"/>
    <col min="6921" max="6923" width="10.42578125" style="31" customWidth="1"/>
    <col min="6924" max="6924" width="10.5703125" style="31" customWidth="1"/>
    <col min="6925" max="6925" width="10.28515625" style="31" customWidth="1"/>
    <col min="6926" max="6926" width="10.140625" style="31" customWidth="1"/>
    <col min="6927" max="6927" width="11.7109375" style="31" customWidth="1"/>
    <col min="6928" max="6928" width="12.42578125" style="31" customWidth="1"/>
    <col min="6929" max="6929" width="11.7109375" style="31" customWidth="1"/>
    <col min="6930" max="6930" width="13.140625" style="31" customWidth="1"/>
    <col min="6931" max="7166" width="9.140625" style="31"/>
    <col min="7167" max="7167" width="3.7109375" style="31" customWidth="1"/>
    <col min="7168" max="7168" width="30.42578125" style="31" customWidth="1"/>
    <col min="7169" max="7169" width="7.140625" style="31" customWidth="1"/>
    <col min="7170" max="7170" width="10.7109375" style="31" customWidth="1"/>
    <col min="7171" max="7171" width="10.42578125" style="31" customWidth="1"/>
    <col min="7172" max="7172" width="10.5703125" style="31" customWidth="1"/>
    <col min="7173" max="7173" width="10.42578125" style="31" customWidth="1"/>
    <col min="7174" max="7176" width="10.5703125" style="31" customWidth="1"/>
    <col min="7177" max="7179" width="10.42578125" style="31" customWidth="1"/>
    <col min="7180" max="7180" width="10.5703125" style="31" customWidth="1"/>
    <col min="7181" max="7181" width="10.28515625" style="31" customWidth="1"/>
    <col min="7182" max="7182" width="10.140625" style="31" customWidth="1"/>
    <col min="7183" max="7183" width="11.7109375" style="31" customWidth="1"/>
    <col min="7184" max="7184" width="12.42578125" style="31" customWidth="1"/>
    <col min="7185" max="7185" width="11.7109375" style="31" customWidth="1"/>
    <col min="7186" max="7186" width="13.140625" style="31" customWidth="1"/>
    <col min="7187" max="7422" width="9.140625" style="31"/>
    <col min="7423" max="7423" width="3.7109375" style="31" customWidth="1"/>
    <col min="7424" max="7424" width="30.42578125" style="31" customWidth="1"/>
    <col min="7425" max="7425" width="7.140625" style="31" customWidth="1"/>
    <col min="7426" max="7426" width="10.7109375" style="31" customWidth="1"/>
    <col min="7427" max="7427" width="10.42578125" style="31" customWidth="1"/>
    <col min="7428" max="7428" width="10.5703125" style="31" customWidth="1"/>
    <col min="7429" max="7429" width="10.42578125" style="31" customWidth="1"/>
    <col min="7430" max="7432" width="10.5703125" style="31" customWidth="1"/>
    <col min="7433" max="7435" width="10.42578125" style="31" customWidth="1"/>
    <col min="7436" max="7436" width="10.5703125" style="31" customWidth="1"/>
    <col min="7437" max="7437" width="10.28515625" style="31" customWidth="1"/>
    <col min="7438" max="7438" width="10.140625" style="31" customWidth="1"/>
    <col min="7439" max="7439" width="11.7109375" style="31" customWidth="1"/>
    <col min="7440" max="7440" width="12.42578125" style="31" customWidth="1"/>
    <col min="7441" max="7441" width="11.7109375" style="31" customWidth="1"/>
    <col min="7442" max="7442" width="13.140625" style="31" customWidth="1"/>
    <col min="7443" max="7678" width="9.140625" style="31"/>
    <col min="7679" max="7679" width="3.7109375" style="31" customWidth="1"/>
    <col min="7680" max="7680" width="30.42578125" style="31" customWidth="1"/>
    <col min="7681" max="7681" width="7.140625" style="31" customWidth="1"/>
    <col min="7682" max="7682" width="10.7109375" style="31" customWidth="1"/>
    <col min="7683" max="7683" width="10.42578125" style="31" customWidth="1"/>
    <col min="7684" max="7684" width="10.5703125" style="31" customWidth="1"/>
    <col min="7685" max="7685" width="10.42578125" style="31" customWidth="1"/>
    <col min="7686" max="7688" width="10.5703125" style="31" customWidth="1"/>
    <col min="7689" max="7691" width="10.42578125" style="31" customWidth="1"/>
    <col min="7692" max="7692" width="10.5703125" style="31" customWidth="1"/>
    <col min="7693" max="7693" width="10.28515625" style="31" customWidth="1"/>
    <col min="7694" max="7694" width="10.140625" style="31" customWidth="1"/>
    <col min="7695" max="7695" width="11.7109375" style="31" customWidth="1"/>
    <col min="7696" max="7696" width="12.42578125" style="31" customWidth="1"/>
    <col min="7697" max="7697" width="11.7109375" style="31" customWidth="1"/>
    <col min="7698" max="7698" width="13.140625" style="31" customWidth="1"/>
    <col min="7699" max="7934" width="9.140625" style="31"/>
    <col min="7935" max="7935" width="3.7109375" style="31" customWidth="1"/>
    <col min="7936" max="7936" width="30.42578125" style="31" customWidth="1"/>
    <col min="7937" max="7937" width="7.140625" style="31" customWidth="1"/>
    <col min="7938" max="7938" width="10.7109375" style="31" customWidth="1"/>
    <col min="7939" max="7939" width="10.42578125" style="31" customWidth="1"/>
    <col min="7940" max="7940" width="10.5703125" style="31" customWidth="1"/>
    <col min="7941" max="7941" width="10.42578125" style="31" customWidth="1"/>
    <col min="7942" max="7944" width="10.5703125" style="31" customWidth="1"/>
    <col min="7945" max="7947" width="10.42578125" style="31" customWidth="1"/>
    <col min="7948" max="7948" width="10.5703125" style="31" customWidth="1"/>
    <col min="7949" max="7949" width="10.28515625" style="31" customWidth="1"/>
    <col min="7950" max="7950" width="10.140625" style="31" customWidth="1"/>
    <col min="7951" max="7951" width="11.7109375" style="31" customWidth="1"/>
    <col min="7952" max="7952" width="12.42578125" style="31" customWidth="1"/>
    <col min="7953" max="7953" width="11.7109375" style="31" customWidth="1"/>
    <col min="7954" max="7954" width="13.140625" style="31" customWidth="1"/>
    <col min="7955" max="8190" width="9.140625" style="31"/>
    <col min="8191" max="8191" width="3.7109375" style="31" customWidth="1"/>
    <col min="8192" max="8192" width="30.42578125" style="31" customWidth="1"/>
    <col min="8193" max="8193" width="7.140625" style="31" customWidth="1"/>
    <col min="8194" max="8194" width="10.7109375" style="31" customWidth="1"/>
    <col min="8195" max="8195" width="10.42578125" style="31" customWidth="1"/>
    <col min="8196" max="8196" width="10.5703125" style="31" customWidth="1"/>
    <col min="8197" max="8197" width="10.42578125" style="31" customWidth="1"/>
    <col min="8198" max="8200" width="10.5703125" style="31" customWidth="1"/>
    <col min="8201" max="8203" width="10.42578125" style="31" customWidth="1"/>
    <col min="8204" max="8204" width="10.5703125" style="31" customWidth="1"/>
    <col min="8205" max="8205" width="10.28515625" style="31" customWidth="1"/>
    <col min="8206" max="8206" width="10.140625" style="31" customWidth="1"/>
    <col min="8207" max="8207" width="11.7109375" style="31" customWidth="1"/>
    <col min="8208" max="8208" width="12.42578125" style="31" customWidth="1"/>
    <col min="8209" max="8209" width="11.7109375" style="31" customWidth="1"/>
    <col min="8210" max="8210" width="13.140625" style="31" customWidth="1"/>
    <col min="8211" max="8446" width="9.140625" style="31"/>
    <col min="8447" max="8447" width="3.7109375" style="31" customWidth="1"/>
    <col min="8448" max="8448" width="30.42578125" style="31" customWidth="1"/>
    <col min="8449" max="8449" width="7.140625" style="31" customWidth="1"/>
    <col min="8450" max="8450" width="10.7109375" style="31" customWidth="1"/>
    <col min="8451" max="8451" width="10.42578125" style="31" customWidth="1"/>
    <col min="8452" max="8452" width="10.5703125" style="31" customWidth="1"/>
    <col min="8453" max="8453" width="10.42578125" style="31" customWidth="1"/>
    <col min="8454" max="8456" width="10.5703125" style="31" customWidth="1"/>
    <col min="8457" max="8459" width="10.42578125" style="31" customWidth="1"/>
    <col min="8460" max="8460" width="10.5703125" style="31" customWidth="1"/>
    <col min="8461" max="8461" width="10.28515625" style="31" customWidth="1"/>
    <col min="8462" max="8462" width="10.140625" style="31" customWidth="1"/>
    <col min="8463" max="8463" width="11.7109375" style="31" customWidth="1"/>
    <col min="8464" max="8464" width="12.42578125" style="31" customWidth="1"/>
    <col min="8465" max="8465" width="11.7109375" style="31" customWidth="1"/>
    <col min="8466" max="8466" width="13.140625" style="31" customWidth="1"/>
    <col min="8467" max="8702" width="9.140625" style="31"/>
    <col min="8703" max="8703" width="3.7109375" style="31" customWidth="1"/>
    <col min="8704" max="8704" width="30.42578125" style="31" customWidth="1"/>
    <col min="8705" max="8705" width="7.140625" style="31" customWidth="1"/>
    <col min="8706" max="8706" width="10.7109375" style="31" customWidth="1"/>
    <col min="8707" max="8707" width="10.42578125" style="31" customWidth="1"/>
    <col min="8708" max="8708" width="10.5703125" style="31" customWidth="1"/>
    <col min="8709" max="8709" width="10.42578125" style="31" customWidth="1"/>
    <col min="8710" max="8712" width="10.5703125" style="31" customWidth="1"/>
    <col min="8713" max="8715" width="10.42578125" style="31" customWidth="1"/>
    <col min="8716" max="8716" width="10.5703125" style="31" customWidth="1"/>
    <col min="8717" max="8717" width="10.28515625" style="31" customWidth="1"/>
    <col min="8718" max="8718" width="10.140625" style="31" customWidth="1"/>
    <col min="8719" max="8719" width="11.7109375" style="31" customWidth="1"/>
    <col min="8720" max="8720" width="12.42578125" style="31" customWidth="1"/>
    <col min="8721" max="8721" width="11.7109375" style="31" customWidth="1"/>
    <col min="8722" max="8722" width="13.140625" style="31" customWidth="1"/>
    <col min="8723" max="8958" width="9.140625" style="31"/>
    <col min="8959" max="8959" width="3.7109375" style="31" customWidth="1"/>
    <col min="8960" max="8960" width="30.42578125" style="31" customWidth="1"/>
    <col min="8961" max="8961" width="7.140625" style="31" customWidth="1"/>
    <col min="8962" max="8962" width="10.7109375" style="31" customWidth="1"/>
    <col min="8963" max="8963" width="10.42578125" style="31" customWidth="1"/>
    <col min="8964" max="8964" width="10.5703125" style="31" customWidth="1"/>
    <col min="8965" max="8965" width="10.42578125" style="31" customWidth="1"/>
    <col min="8966" max="8968" width="10.5703125" style="31" customWidth="1"/>
    <col min="8969" max="8971" width="10.42578125" style="31" customWidth="1"/>
    <col min="8972" max="8972" width="10.5703125" style="31" customWidth="1"/>
    <col min="8973" max="8973" width="10.28515625" style="31" customWidth="1"/>
    <col min="8974" max="8974" width="10.140625" style="31" customWidth="1"/>
    <col min="8975" max="8975" width="11.7109375" style="31" customWidth="1"/>
    <col min="8976" max="8976" width="12.42578125" style="31" customWidth="1"/>
    <col min="8977" max="8977" width="11.7109375" style="31" customWidth="1"/>
    <col min="8978" max="8978" width="13.140625" style="31" customWidth="1"/>
    <col min="8979" max="9214" width="9.140625" style="31"/>
    <col min="9215" max="9215" width="3.7109375" style="31" customWidth="1"/>
    <col min="9216" max="9216" width="30.42578125" style="31" customWidth="1"/>
    <col min="9217" max="9217" width="7.140625" style="31" customWidth="1"/>
    <col min="9218" max="9218" width="10.7109375" style="31" customWidth="1"/>
    <col min="9219" max="9219" width="10.42578125" style="31" customWidth="1"/>
    <col min="9220" max="9220" width="10.5703125" style="31" customWidth="1"/>
    <col min="9221" max="9221" width="10.42578125" style="31" customWidth="1"/>
    <col min="9222" max="9224" width="10.5703125" style="31" customWidth="1"/>
    <col min="9225" max="9227" width="10.42578125" style="31" customWidth="1"/>
    <col min="9228" max="9228" width="10.5703125" style="31" customWidth="1"/>
    <col min="9229" max="9229" width="10.28515625" style="31" customWidth="1"/>
    <col min="9230" max="9230" width="10.140625" style="31" customWidth="1"/>
    <col min="9231" max="9231" width="11.7109375" style="31" customWidth="1"/>
    <col min="9232" max="9232" width="12.42578125" style="31" customWidth="1"/>
    <col min="9233" max="9233" width="11.7109375" style="31" customWidth="1"/>
    <col min="9234" max="9234" width="13.140625" style="31" customWidth="1"/>
    <col min="9235" max="9470" width="9.140625" style="31"/>
    <col min="9471" max="9471" width="3.7109375" style="31" customWidth="1"/>
    <col min="9472" max="9472" width="30.42578125" style="31" customWidth="1"/>
    <col min="9473" max="9473" width="7.140625" style="31" customWidth="1"/>
    <col min="9474" max="9474" width="10.7109375" style="31" customWidth="1"/>
    <col min="9475" max="9475" width="10.42578125" style="31" customWidth="1"/>
    <col min="9476" max="9476" width="10.5703125" style="31" customWidth="1"/>
    <col min="9477" max="9477" width="10.42578125" style="31" customWidth="1"/>
    <col min="9478" max="9480" width="10.5703125" style="31" customWidth="1"/>
    <col min="9481" max="9483" width="10.42578125" style="31" customWidth="1"/>
    <col min="9484" max="9484" width="10.5703125" style="31" customWidth="1"/>
    <col min="9485" max="9485" width="10.28515625" style="31" customWidth="1"/>
    <col min="9486" max="9486" width="10.140625" style="31" customWidth="1"/>
    <col min="9487" max="9487" width="11.7109375" style="31" customWidth="1"/>
    <col min="9488" max="9488" width="12.42578125" style="31" customWidth="1"/>
    <col min="9489" max="9489" width="11.7109375" style="31" customWidth="1"/>
    <col min="9490" max="9490" width="13.140625" style="31" customWidth="1"/>
    <col min="9491" max="9726" width="9.140625" style="31"/>
    <col min="9727" max="9727" width="3.7109375" style="31" customWidth="1"/>
    <col min="9728" max="9728" width="30.42578125" style="31" customWidth="1"/>
    <col min="9729" max="9729" width="7.140625" style="31" customWidth="1"/>
    <col min="9730" max="9730" width="10.7109375" style="31" customWidth="1"/>
    <col min="9731" max="9731" width="10.42578125" style="31" customWidth="1"/>
    <col min="9732" max="9732" width="10.5703125" style="31" customWidth="1"/>
    <col min="9733" max="9733" width="10.42578125" style="31" customWidth="1"/>
    <col min="9734" max="9736" width="10.5703125" style="31" customWidth="1"/>
    <col min="9737" max="9739" width="10.42578125" style="31" customWidth="1"/>
    <col min="9740" max="9740" width="10.5703125" style="31" customWidth="1"/>
    <col min="9741" max="9741" width="10.28515625" style="31" customWidth="1"/>
    <col min="9742" max="9742" width="10.140625" style="31" customWidth="1"/>
    <col min="9743" max="9743" width="11.7109375" style="31" customWidth="1"/>
    <col min="9744" max="9744" width="12.42578125" style="31" customWidth="1"/>
    <col min="9745" max="9745" width="11.7109375" style="31" customWidth="1"/>
    <col min="9746" max="9746" width="13.140625" style="31" customWidth="1"/>
    <col min="9747" max="9982" width="9.140625" style="31"/>
    <col min="9983" max="9983" width="3.7109375" style="31" customWidth="1"/>
    <col min="9984" max="9984" width="30.42578125" style="31" customWidth="1"/>
    <col min="9985" max="9985" width="7.140625" style="31" customWidth="1"/>
    <col min="9986" max="9986" width="10.7109375" style="31" customWidth="1"/>
    <col min="9987" max="9987" width="10.42578125" style="31" customWidth="1"/>
    <col min="9988" max="9988" width="10.5703125" style="31" customWidth="1"/>
    <col min="9989" max="9989" width="10.42578125" style="31" customWidth="1"/>
    <col min="9990" max="9992" width="10.5703125" style="31" customWidth="1"/>
    <col min="9993" max="9995" width="10.42578125" style="31" customWidth="1"/>
    <col min="9996" max="9996" width="10.5703125" style="31" customWidth="1"/>
    <col min="9997" max="9997" width="10.28515625" style="31" customWidth="1"/>
    <col min="9998" max="9998" width="10.140625" style="31" customWidth="1"/>
    <col min="9999" max="9999" width="11.7109375" style="31" customWidth="1"/>
    <col min="10000" max="10000" width="12.42578125" style="31" customWidth="1"/>
    <col min="10001" max="10001" width="11.7109375" style="31" customWidth="1"/>
    <col min="10002" max="10002" width="13.140625" style="31" customWidth="1"/>
    <col min="10003" max="10238" width="9.140625" style="31"/>
    <col min="10239" max="10239" width="3.7109375" style="31" customWidth="1"/>
    <col min="10240" max="10240" width="30.42578125" style="31" customWidth="1"/>
    <col min="10241" max="10241" width="7.140625" style="31" customWidth="1"/>
    <col min="10242" max="10242" width="10.7109375" style="31" customWidth="1"/>
    <col min="10243" max="10243" width="10.42578125" style="31" customWidth="1"/>
    <col min="10244" max="10244" width="10.5703125" style="31" customWidth="1"/>
    <col min="10245" max="10245" width="10.42578125" style="31" customWidth="1"/>
    <col min="10246" max="10248" width="10.5703125" style="31" customWidth="1"/>
    <col min="10249" max="10251" width="10.42578125" style="31" customWidth="1"/>
    <col min="10252" max="10252" width="10.5703125" style="31" customWidth="1"/>
    <col min="10253" max="10253" width="10.28515625" style="31" customWidth="1"/>
    <col min="10254" max="10254" width="10.140625" style="31" customWidth="1"/>
    <col min="10255" max="10255" width="11.7109375" style="31" customWidth="1"/>
    <col min="10256" max="10256" width="12.42578125" style="31" customWidth="1"/>
    <col min="10257" max="10257" width="11.7109375" style="31" customWidth="1"/>
    <col min="10258" max="10258" width="13.140625" style="31" customWidth="1"/>
    <col min="10259" max="10494" width="9.140625" style="31"/>
    <col min="10495" max="10495" width="3.7109375" style="31" customWidth="1"/>
    <col min="10496" max="10496" width="30.42578125" style="31" customWidth="1"/>
    <col min="10497" max="10497" width="7.140625" style="31" customWidth="1"/>
    <col min="10498" max="10498" width="10.7109375" style="31" customWidth="1"/>
    <col min="10499" max="10499" width="10.42578125" style="31" customWidth="1"/>
    <col min="10500" max="10500" width="10.5703125" style="31" customWidth="1"/>
    <col min="10501" max="10501" width="10.42578125" style="31" customWidth="1"/>
    <col min="10502" max="10504" width="10.5703125" style="31" customWidth="1"/>
    <col min="10505" max="10507" width="10.42578125" style="31" customWidth="1"/>
    <col min="10508" max="10508" width="10.5703125" style="31" customWidth="1"/>
    <col min="10509" max="10509" width="10.28515625" style="31" customWidth="1"/>
    <col min="10510" max="10510" width="10.140625" style="31" customWidth="1"/>
    <col min="10511" max="10511" width="11.7109375" style="31" customWidth="1"/>
    <col min="10512" max="10512" width="12.42578125" style="31" customWidth="1"/>
    <col min="10513" max="10513" width="11.7109375" style="31" customWidth="1"/>
    <col min="10514" max="10514" width="13.140625" style="31" customWidth="1"/>
    <col min="10515" max="10750" width="9.140625" style="31"/>
    <col min="10751" max="10751" width="3.7109375" style="31" customWidth="1"/>
    <col min="10752" max="10752" width="30.42578125" style="31" customWidth="1"/>
    <col min="10753" max="10753" width="7.140625" style="31" customWidth="1"/>
    <col min="10754" max="10754" width="10.7109375" style="31" customWidth="1"/>
    <col min="10755" max="10755" width="10.42578125" style="31" customWidth="1"/>
    <col min="10756" max="10756" width="10.5703125" style="31" customWidth="1"/>
    <col min="10757" max="10757" width="10.42578125" style="31" customWidth="1"/>
    <col min="10758" max="10760" width="10.5703125" style="31" customWidth="1"/>
    <col min="10761" max="10763" width="10.42578125" style="31" customWidth="1"/>
    <col min="10764" max="10764" width="10.5703125" style="31" customWidth="1"/>
    <col min="10765" max="10765" width="10.28515625" style="31" customWidth="1"/>
    <col min="10766" max="10766" width="10.140625" style="31" customWidth="1"/>
    <col min="10767" max="10767" width="11.7109375" style="31" customWidth="1"/>
    <col min="10768" max="10768" width="12.42578125" style="31" customWidth="1"/>
    <col min="10769" max="10769" width="11.7109375" style="31" customWidth="1"/>
    <col min="10770" max="10770" width="13.140625" style="31" customWidth="1"/>
    <col min="10771" max="11006" width="9.140625" style="31"/>
    <col min="11007" max="11007" width="3.7109375" style="31" customWidth="1"/>
    <col min="11008" max="11008" width="30.42578125" style="31" customWidth="1"/>
    <col min="11009" max="11009" width="7.140625" style="31" customWidth="1"/>
    <col min="11010" max="11010" width="10.7109375" style="31" customWidth="1"/>
    <col min="11011" max="11011" width="10.42578125" style="31" customWidth="1"/>
    <col min="11012" max="11012" width="10.5703125" style="31" customWidth="1"/>
    <col min="11013" max="11013" width="10.42578125" style="31" customWidth="1"/>
    <col min="11014" max="11016" width="10.5703125" style="31" customWidth="1"/>
    <col min="11017" max="11019" width="10.42578125" style="31" customWidth="1"/>
    <col min="11020" max="11020" width="10.5703125" style="31" customWidth="1"/>
    <col min="11021" max="11021" width="10.28515625" style="31" customWidth="1"/>
    <col min="11022" max="11022" width="10.140625" style="31" customWidth="1"/>
    <col min="11023" max="11023" width="11.7109375" style="31" customWidth="1"/>
    <col min="11024" max="11024" width="12.42578125" style="31" customWidth="1"/>
    <col min="11025" max="11025" width="11.7109375" style="31" customWidth="1"/>
    <col min="11026" max="11026" width="13.140625" style="31" customWidth="1"/>
    <col min="11027" max="11262" width="9.140625" style="31"/>
    <col min="11263" max="11263" width="3.7109375" style="31" customWidth="1"/>
    <col min="11264" max="11264" width="30.42578125" style="31" customWidth="1"/>
    <col min="11265" max="11265" width="7.140625" style="31" customWidth="1"/>
    <col min="11266" max="11266" width="10.7109375" style="31" customWidth="1"/>
    <col min="11267" max="11267" width="10.42578125" style="31" customWidth="1"/>
    <col min="11268" max="11268" width="10.5703125" style="31" customWidth="1"/>
    <col min="11269" max="11269" width="10.42578125" style="31" customWidth="1"/>
    <col min="11270" max="11272" width="10.5703125" style="31" customWidth="1"/>
    <col min="11273" max="11275" width="10.42578125" style="31" customWidth="1"/>
    <col min="11276" max="11276" width="10.5703125" style="31" customWidth="1"/>
    <col min="11277" max="11277" width="10.28515625" style="31" customWidth="1"/>
    <col min="11278" max="11278" width="10.140625" style="31" customWidth="1"/>
    <col min="11279" max="11279" width="11.7109375" style="31" customWidth="1"/>
    <col min="11280" max="11280" width="12.42578125" style="31" customWidth="1"/>
    <col min="11281" max="11281" width="11.7109375" style="31" customWidth="1"/>
    <col min="11282" max="11282" width="13.140625" style="31" customWidth="1"/>
    <col min="11283" max="11518" width="9.140625" style="31"/>
    <col min="11519" max="11519" width="3.7109375" style="31" customWidth="1"/>
    <col min="11520" max="11520" width="30.42578125" style="31" customWidth="1"/>
    <col min="11521" max="11521" width="7.140625" style="31" customWidth="1"/>
    <col min="11522" max="11522" width="10.7109375" style="31" customWidth="1"/>
    <col min="11523" max="11523" width="10.42578125" style="31" customWidth="1"/>
    <col min="11524" max="11524" width="10.5703125" style="31" customWidth="1"/>
    <col min="11525" max="11525" width="10.42578125" style="31" customWidth="1"/>
    <col min="11526" max="11528" width="10.5703125" style="31" customWidth="1"/>
    <col min="11529" max="11531" width="10.42578125" style="31" customWidth="1"/>
    <col min="11532" max="11532" width="10.5703125" style="31" customWidth="1"/>
    <col min="11533" max="11533" width="10.28515625" style="31" customWidth="1"/>
    <col min="11534" max="11534" width="10.140625" style="31" customWidth="1"/>
    <col min="11535" max="11535" width="11.7109375" style="31" customWidth="1"/>
    <col min="11536" max="11536" width="12.42578125" style="31" customWidth="1"/>
    <col min="11537" max="11537" width="11.7109375" style="31" customWidth="1"/>
    <col min="11538" max="11538" width="13.140625" style="31" customWidth="1"/>
    <col min="11539" max="11774" width="9.140625" style="31"/>
    <col min="11775" max="11775" width="3.7109375" style="31" customWidth="1"/>
    <col min="11776" max="11776" width="30.42578125" style="31" customWidth="1"/>
    <col min="11777" max="11777" width="7.140625" style="31" customWidth="1"/>
    <col min="11778" max="11778" width="10.7109375" style="31" customWidth="1"/>
    <col min="11779" max="11779" width="10.42578125" style="31" customWidth="1"/>
    <col min="11780" max="11780" width="10.5703125" style="31" customWidth="1"/>
    <col min="11781" max="11781" width="10.42578125" style="31" customWidth="1"/>
    <col min="11782" max="11784" width="10.5703125" style="31" customWidth="1"/>
    <col min="11785" max="11787" width="10.42578125" style="31" customWidth="1"/>
    <col min="11788" max="11788" width="10.5703125" style="31" customWidth="1"/>
    <col min="11789" max="11789" width="10.28515625" style="31" customWidth="1"/>
    <col min="11790" max="11790" width="10.140625" style="31" customWidth="1"/>
    <col min="11791" max="11791" width="11.7109375" style="31" customWidth="1"/>
    <col min="11792" max="11792" width="12.42578125" style="31" customWidth="1"/>
    <col min="11793" max="11793" width="11.7109375" style="31" customWidth="1"/>
    <col min="11794" max="11794" width="13.140625" style="31" customWidth="1"/>
    <col min="11795" max="12030" width="9.140625" style="31"/>
    <col min="12031" max="12031" width="3.7109375" style="31" customWidth="1"/>
    <col min="12032" max="12032" width="30.42578125" style="31" customWidth="1"/>
    <col min="12033" max="12033" width="7.140625" style="31" customWidth="1"/>
    <col min="12034" max="12034" width="10.7109375" style="31" customWidth="1"/>
    <col min="12035" max="12035" width="10.42578125" style="31" customWidth="1"/>
    <col min="12036" max="12036" width="10.5703125" style="31" customWidth="1"/>
    <col min="12037" max="12037" width="10.42578125" style="31" customWidth="1"/>
    <col min="12038" max="12040" width="10.5703125" style="31" customWidth="1"/>
    <col min="12041" max="12043" width="10.42578125" style="31" customWidth="1"/>
    <col min="12044" max="12044" width="10.5703125" style="31" customWidth="1"/>
    <col min="12045" max="12045" width="10.28515625" style="31" customWidth="1"/>
    <col min="12046" max="12046" width="10.140625" style="31" customWidth="1"/>
    <col min="12047" max="12047" width="11.7109375" style="31" customWidth="1"/>
    <col min="12048" max="12048" width="12.42578125" style="31" customWidth="1"/>
    <col min="12049" max="12049" width="11.7109375" style="31" customWidth="1"/>
    <col min="12050" max="12050" width="13.140625" style="31" customWidth="1"/>
    <col min="12051" max="12286" width="9.140625" style="31"/>
    <col min="12287" max="12287" width="3.7109375" style="31" customWidth="1"/>
    <col min="12288" max="12288" width="30.42578125" style="31" customWidth="1"/>
    <col min="12289" max="12289" width="7.140625" style="31" customWidth="1"/>
    <col min="12290" max="12290" width="10.7109375" style="31" customWidth="1"/>
    <col min="12291" max="12291" width="10.42578125" style="31" customWidth="1"/>
    <col min="12292" max="12292" width="10.5703125" style="31" customWidth="1"/>
    <col min="12293" max="12293" width="10.42578125" style="31" customWidth="1"/>
    <col min="12294" max="12296" width="10.5703125" style="31" customWidth="1"/>
    <col min="12297" max="12299" width="10.42578125" style="31" customWidth="1"/>
    <col min="12300" max="12300" width="10.5703125" style="31" customWidth="1"/>
    <col min="12301" max="12301" width="10.28515625" style="31" customWidth="1"/>
    <col min="12302" max="12302" width="10.140625" style="31" customWidth="1"/>
    <col min="12303" max="12303" width="11.7109375" style="31" customWidth="1"/>
    <col min="12304" max="12304" width="12.42578125" style="31" customWidth="1"/>
    <col min="12305" max="12305" width="11.7109375" style="31" customWidth="1"/>
    <col min="12306" max="12306" width="13.140625" style="31" customWidth="1"/>
    <col min="12307" max="12542" width="9.140625" style="31"/>
    <col min="12543" max="12543" width="3.7109375" style="31" customWidth="1"/>
    <col min="12544" max="12544" width="30.42578125" style="31" customWidth="1"/>
    <col min="12545" max="12545" width="7.140625" style="31" customWidth="1"/>
    <col min="12546" max="12546" width="10.7109375" style="31" customWidth="1"/>
    <col min="12547" max="12547" width="10.42578125" style="31" customWidth="1"/>
    <col min="12548" max="12548" width="10.5703125" style="31" customWidth="1"/>
    <col min="12549" max="12549" width="10.42578125" style="31" customWidth="1"/>
    <col min="12550" max="12552" width="10.5703125" style="31" customWidth="1"/>
    <col min="12553" max="12555" width="10.42578125" style="31" customWidth="1"/>
    <col min="12556" max="12556" width="10.5703125" style="31" customWidth="1"/>
    <col min="12557" max="12557" width="10.28515625" style="31" customWidth="1"/>
    <col min="12558" max="12558" width="10.140625" style="31" customWidth="1"/>
    <col min="12559" max="12559" width="11.7109375" style="31" customWidth="1"/>
    <col min="12560" max="12560" width="12.42578125" style="31" customWidth="1"/>
    <col min="12561" max="12561" width="11.7109375" style="31" customWidth="1"/>
    <col min="12562" max="12562" width="13.140625" style="31" customWidth="1"/>
    <col min="12563" max="12798" width="9.140625" style="31"/>
    <col min="12799" max="12799" width="3.7109375" style="31" customWidth="1"/>
    <col min="12800" max="12800" width="30.42578125" style="31" customWidth="1"/>
    <col min="12801" max="12801" width="7.140625" style="31" customWidth="1"/>
    <col min="12802" max="12802" width="10.7109375" style="31" customWidth="1"/>
    <col min="12803" max="12803" width="10.42578125" style="31" customWidth="1"/>
    <col min="12804" max="12804" width="10.5703125" style="31" customWidth="1"/>
    <col min="12805" max="12805" width="10.42578125" style="31" customWidth="1"/>
    <col min="12806" max="12808" width="10.5703125" style="31" customWidth="1"/>
    <col min="12809" max="12811" width="10.42578125" style="31" customWidth="1"/>
    <col min="12812" max="12812" width="10.5703125" style="31" customWidth="1"/>
    <col min="12813" max="12813" width="10.28515625" style="31" customWidth="1"/>
    <col min="12814" max="12814" width="10.140625" style="31" customWidth="1"/>
    <col min="12815" max="12815" width="11.7109375" style="31" customWidth="1"/>
    <col min="12816" max="12816" width="12.42578125" style="31" customWidth="1"/>
    <col min="12817" max="12817" width="11.7109375" style="31" customWidth="1"/>
    <col min="12818" max="12818" width="13.140625" style="31" customWidth="1"/>
    <col min="12819" max="13054" width="9.140625" style="31"/>
    <col min="13055" max="13055" width="3.7109375" style="31" customWidth="1"/>
    <col min="13056" max="13056" width="30.42578125" style="31" customWidth="1"/>
    <col min="13057" max="13057" width="7.140625" style="31" customWidth="1"/>
    <col min="13058" max="13058" width="10.7109375" style="31" customWidth="1"/>
    <col min="13059" max="13059" width="10.42578125" style="31" customWidth="1"/>
    <col min="13060" max="13060" width="10.5703125" style="31" customWidth="1"/>
    <col min="13061" max="13061" width="10.42578125" style="31" customWidth="1"/>
    <col min="13062" max="13064" width="10.5703125" style="31" customWidth="1"/>
    <col min="13065" max="13067" width="10.42578125" style="31" customWidth="1"/>
    <col min="13068" max="13068" width="10.5703125" style="31" customWidth="1"/>
    <col min="13069" max="13069" width="10.28515625" style="31" customWidth="1"/>
    <col min="13070" max="13070" width="10.140625" style="31" customWidth="1"/>
    <col min="13071" max="13071" width="11.7109375" style="31" customWidth="1"/>
    <col min="13072" max="13072" width="12.42578125" style="31" customWidth="1"/>
    <col min="13073" max="13073" width="11.7109375" style="31" customWidth="1"/>
    <col min="13074" max="13074" width="13.140625" style="31" customWidth="1"/>
    <col min="13075" max="13310" width="9.140625" style="31"/>
    <col min="13311" max="13311" width="3.7109375" style="31" customWidth="1"/>
    <col min="13312" max="13312" width="30.42578125" style="31" customWidth="1"/>
    <col min="13313" max="13313" width="7.140625" style="31" customWidth="1"/>
    <col min="13314" max="13314" width="10.7109375" style="31" customWidth="1"/>
    <col min="13315" max="13315" width="10.42578125" style="31" customWidth="1"/>
    <col min="13316" max="13316" width="10.5703125" style="31" customWidth="1"/>
    <col min="13317" max="13317" width="10.42578125" style="31" customWidth="1"/>
    <col min="13318" max="13320" width="10.5703125" style="31" customWidth="1"/>
    <col min="13321" max="13323" width="10.42578125" style="31" customWidth="1"/>
    <col min="13324" max="13324" width="10.5703125" style="31" customWidth="1"/>
    <col min="13325" max="13325" width="10.28515625" style="31" customWidth="1"/>
    <col min="13326" max="13326" width="10.140625" style="31" customWidth="1"/>
    <col min="13327" max="13327" width="11.7109375" style="31" customWidth="1"/>
    <col min="13328" max="13328" width="12.42578125" style="31" customWidth="1"/>
    <col min="13329" max="13329" width="11.7109375" style="31" customWidth="1"/>
    <col min="13330" max="13330" width="13.140625" style="31" customWidth="1"/>
    <col min="13331" max="13566" width="9.140625" style="31"/>
    <col min="13567" max="13567" width="3.7109375" style="31" customWidth="1"/>
    <col min="13568" max="13568" width="30.42578125" style="31" customWidth="1"/>
    <col min="13569" max="13569" width="7.140625" style="31" customWidth="1"/>
    <col min="13570" max="13570" width="10.7109375" style="31" customWidth="1"/>
    <col min="13571" max="13571" width="10.42578125" style="31" customWidth="1"/>
    <col min="13572" max="13572" width="10.5703125" style="31" customWidth="1"/>
    <col min="13573" max="13573" width="10.42578125" style="31" customWidth="1"/>
    <col min="13574" max="13576" width="10.5703125" style="31" customWidth="1"/>
    <col min="13577" max="13579" width="10.42578125" style="31" customWidth="1"/>
    <col min="13580" max="13580" width="10.5703125" style="31" customWidth="1"/>
    <col min="13581" max="13581" width="10.28515625" style="31" customWidth="1"/>
    <col min="13582" max="13582" width="10.140625" style="31" customWidth="1"/>
    <col min="13583" max="13583" width="11.7109375" style="31" customWidth="1"/>
    <col min="13584" max="13584" width="12.42578125" style="31" customWidth="1"/>
    <col min="13585" max="13585" width="11.7109375" style="31" customWidth="1"/>
    <col min="13586" max="13586" width="13.140625" style="31" customWidth="1"/>
    <col min="13587" max="13822" width="9.140625" style="31"/>
    <col min="13823" max="13823" width="3.7109375" style="31" customWidth="1"/>
    <col min="13824" max="13824" width="30.42578125" style="31" customWidth="1"/>
    <col min="13825" max="13825" width="7.140625" style="31" customWidth="1"/>
    <col min="13826" max="13826" width="10.7109375" style="31" customWidth="1"/>
    <col min="13827" max="13827" width="10.42578125" style="31" customWidth="1"/>
    <col min="13828" max="13828" width="10.5703125" style="31" customWidth="1"/>
    <col min="13829" max="13829" width="10.42578125" style="31" customWidth="1"/>
    <col min="13830" max="13832" width="10.5703125" style="31" customWidth="1"/>
    <col min="13833" max="13835" width="10.42578125" style="31" customWidth="1"/>
    <col min="13836" max="13836" width="10.5703125" style="31" customWidth="1"/>
    <col min="13837" max="13837" width="10.28515625" style="31" customWidth="1"/>
    <col min="13838" max="13838" width="10.140625" style="31" customWidth="1"/>
    <col min="13839" max="13839" width="11.7109375" style="31" customWidth="1"/>
    <col min="13840" max="13840" width="12.42578125" style="31" customWidth="1"/>
    <col min="13841" max="13841" width="11.7109375" style="31" customWidth="1"/>
    <col min="13842" max="13842" width="13.140625" style="31" customWidth="1"/>
    <col min="13843" max="14078" width="9.140625" style="31"/>
    <col min="14079" max="14079" width="3.7109375" style="31" customWidth="1"/>
    <col min="14080" max="14080" width="30.42578125" style="31" customWidth="1"/>
    <col min="14081" max="14081" width="7.140625" style="31" customWidth="1"/>
    <col min="14082" max="14082" width="10.7109375" style="31" customWidth="1"/>
    <col min="14083" max="14083" width="10.42578125" style="31" customWidth="1"/>
    <col min="14084" max="14084" width="10.5703125" style="31" customWidth="1"/>
    <col min="14085" max="14085" width="10.42578125" style="31" customWidth="1"/>
    <col min="14086" max="14088" width="10.5703125" style="31" customWidth="1"/>
    <col min="14089" max="14091" width="10.42578125" style="31" customWidth="1"/>
    <col min="14092" max="14092" width="10.5703125" style="31" customWidth="1"/>
    <col min="14093" max="14093" width="10.28515625" style="31" customWidth="1"/>
    <col min="14094" max="14094" width="10.140625" style="31" customWidth="1"/>
    <col min="14095" max="14095" width="11.7109375" style="31" customWidth="1"/>
    <col min="14096" max="14096" width="12.42578125" style="31" customWidth="1"/>
    <col min="14097" max="14097" width="11.7109375" style="31" customWidth="1"/>
    <col min="14098" max="14098" width="13.140625" style="31" customWidth="1"/>
    <col min="14099" max="14334" width="9.140625" style="31"/>
    <col min="14335" max="14335" width="3.7109375" style="31" customWidth="1"/>
    <col min="14336" max="14336" width="30.42578125" style="31" customWidth="1"/>
    <col min="14337" max="14337" width="7.140625" style="31" customWidth="1"/>
    <col min="14338" max="14338" width="10.7109375" style="31" customWidth="1"/>
    <col min="14339" max="14339" width="10.42578125" style="31" customWidth="1"/>
    <col min="14340" max="14340" width="10.5703125" style="31" customWidth="1"/>
    <col min="14341" max="14341" width="10.42578125" style="31" customWidth="1"/>
    <col min="14342" max="14344" width="10.5703125" style="31" customWidth="1"/>
    <col min="14345" max="14347" width="10.42578125" style="31" customWidth="1"/>
    <col min="14348" max="14348" width="10.5703125" style="31" customWidth="1"/>
    <col min="14349" max="14349" width="10.28515625" style="31" customWidth="1"/>
    <col min="14350" max="14350" width="10.140625" style="31" customWidth="1"/>
    <col min="14351" max="14351" width="11.7109375" style="31" customWidth="1"/>
    <col min="14352" max="14352" width="12.42578125" style="31" customWidth="1"/>
    <col min="14353" max="14353" width="11.7109375" style="31" customWidth="1"/>
    <col min="14354" max="14354" width="13.140625" style="31" customWidth="1"/>
    <col min="14355" max="14590" width="9.140625" style="31"/>
    <col min="14591" max="14591" width="3.7109375" style="31" customWidth="1"/>
    <col min="14592" max="14592" width="30.42578125" style="31" customWidth="1"/>
    <col min="14593" max="14593" width="7.140625" style="31" customWidth="1"/>
    <col min="14594" max="14594" width="10.7109375" style="31" customWidth="1"/>
    <col min="14595" max="14595" width="10.42578125" style="31" customWidth="1"/>
    <col min="14596" max="14596" width="10.5703125" style="31" customWidth="1"/>
    <col min="14597" max="14597" width="10.42578125" style="31" customWidth="1"/>
    <col min="14598" max="14600" width="10.5703125" style="31" customWidth="1"/>
    <col min="14601" max="14603" width="10.42578125" style="31" customWidth="1"/>
    <col min="14604" max="14604" width="10.5703125" style="31" customWidth="1"/>
    <col min="14605" max="14605" width="10.28515625" style="31" customWidth="1"/>
    <col min="14606" max="14606" width="10.140625" style="31" customWidth="1"/>
    <col min="14607" max="14607" width="11.7109375" style="31" customWidth="1"/>
    <col min="14608" max="14608" width="12.42578125" style="31" customWidth="1"/>
    <col min="14609" max="14609" width="11.7109375" style="31" customWidth="1"/>
    <col min="14610" max="14610" width="13.140625" style="31" customWidth="1"/>
    <col min="14611" max="14846" width="9.140625" style="31"/>
    <col min="14847" max="14847" width="3.7109375" style="31" customWidth="1"/>
    <col min="14848" max="14848" width="30.42578125" style="31" customWidth="1"/>
    <col min="14849" max="14849" width="7.140625" style="31" customWidth="1"/>
    <col min="14850" max="14850" width="10.7109375" style="31" customWidth="1"/>
    <col min="14851" max="14851" width="10.42578125" style="31" customWidth="1"/>
    <col min="14852" max="14852" width="10.5703125" style="31" customWidth="1"/>
    <col min="14853" max="14853" width="10.42578125" style="31" customWidth="1"/>
    <col min="14854" max="14856" width="10.5703125" style="31" customWidth="1"/>
    <col min="14857" max="14859" width="10.42578125" style="31" customWidth="1"/>
    <col min="14860" max="14860" width="10.5703125" style="31" customWidth="1"/>
    <col min="14861" max="14861" width="10.28515625" style="31" customWidth="1"/>
    <col min="14862" max="14862" width="10.140625" style="31" customWidth="1"/>
    <col min="14863" max="14863" width="11.7109375" style="31" customWidth="1"/>
    <col min="14864" max="14864" width="12.42578125" style="31" customWidth="1"/>
    <col min="14865" max="14865" width="11.7109375" style="31" customWidth="1"/>
    <col min="14866" max="14866" width="13.140625" style="31" customWidth="1"/>
    <col min="14867" max="15102" width="9.140625" style="31"/>
    <col min="15103" max="15103" width="3.7109375" style="31" customWidth="1"/>
    <col min="15104" max="15104" width="30.42578125" style="31" customWidth="1"/>
    <col min="15105" max="15105" width="7.140625" style="31" customWidth="1"/>
    <col min="15106" max="15106" width="10.7109375" style="31" customWidth="1"/>
    <col min="15107" max="15107" width="10.42578125" style="31" customWidth="1"/>
    <col min="15108" max="15108" width="10.5703125" style="31" customWidth="1"/>
    <col min="15109" max="15109" width="10.42578125" style="31" customWidth="1"/>
    <col min="15110" max="15112" width="10.5703125" style="31" customWidth="1"/>
    <col min="15113" max="15115" width="10.42578125" style="31" customWidth="1"/>
    <col min="15116" max="15116" width="10.5703125" style="31" customWidth="1"/>
    <col min="15117" max="15117" width="10.28515625" style="31" customWidth="1"/>
    <col min="15118" max="15118" width="10.140625" style="31" customWidth="1"/>
    <col min="15119" max="15119" width="11.7109375" style="31" customWidth="1"/>
    <col min="15120" max="15120" width="12.42578125" style="31" customWidth="1"/>
    <col min="15121" max="15121" width="11.7109375" style="31" customWidth="1"/>
    <col min="15122" max="15122" width="13.140625" style="31" customWidth="1"/>
    <col min="15123" max="15358" width="9.140625" style="31"/>
    <col min="15359" max="15359" width="3.7109375" style="31" customWidth="1"/>
    <col min="15360" max="15360" width="30.42578125" style="31" customWidth="1"/>
    <col min="15361" max="15361" width="7.140625" style="31" customWidth="1"/>
    <col min="15362" max="15362" width="10.7109375" style="31" customWidth="1"/>
    <col min="15363" max="15363" width="10.42578125" style="31" customWidth="1"/>
    <col min="15364" max="15364" width="10.5703125" style="31" customWidth="1"/>
    <col min="15365" max="15365" width="10.42578125" style="31" customWidth="1"/>
    <col min="15366" max="15368" width="10.5703125" style="31" customWidth="1"/>
    <col min="15369" max="15371" width="10.42578125" style="31" customWidth="1"/>
    <col min="15372" max="15372" width="10.5703125" style="31" customWidth="1"/>
    <col min="15373" max="15373" width="10.28515625" style="31" customWidth="1"/>
    <col min="15374" max="15374" width="10.140625" style="31" customWidth="1"/>
    <col min="15375" max="15375" width="11.7109375" style="31" customWidth="1"/>
    <col min="15376" max="15376" width="12.42578125" style="31" customWidth="1"/>
    <col min="15377" max="15377" width="11.7109375" style="31" customWidth="1"/>
    <col min="15378" max="15378" width="13.140625" style="31" customWidth="1"/>
    <col min="15379" max="15614" width="9.140625" style="31"/>
    <col min="15615" max="15615" width="3.7109375" style="31" customWidth="1"/>
    <col min="15616" max="15616" width="30.42578125" style="31" customWidth="1"/>
    <col min="15617" max="15617" width="7.140625" style="31" customWidth="1"/>
    <col min="15618" max="15618" width="10.7109375" style="31" customWidth="1"/>
    <col min="15619" max="15619" width="10.42578125" style="31" customWidth="1"/>
    <col min="15620" max="15620" width="10.5703125" style="31" customWidth="1"/>
    <col min="15621" max="15621" width="10.42578125" style="31" customWidth="1"/>
    <col min="15622" max="15624" width="10.5703125" style="31" customWidth="1"/>
    <col min="15625" max="15627" width="10.42578125" style="31" customWidth="1"/>
    <col min="15628" max="15628" width="10.5703125" style="31" customWidth="1"/>
    <col min="15629" max="15629" width="10.28515625" style="31" customWidth="1"/>
    <col min="15630" max="15630" width="10.140625" style="31" customWidth="1"/>
    <col min="15631" max="15631" width="11.7109375" style="31" customWidth="1"/>
    <col min="15632" max="15632" width="12.42578125" style="31" customWidth="1"/>
    <col min="15633" max="15633" width="11.7109375" style="31" customWidth="1"/>
    <col min="15634" max="15634" width="13.140625" style="31" customWidth="1"/>
    <col min="15635" max="15870" width="9.140625" style="31"/>
    <col min="15871" max="15871" width="3.7109375" style="31" customWidth="1"/>
    <col min="15872" max="15872" width="30.42578125" style="31" customWidth="1"/>
    <col min="15873" max="15873" width="7.140625" style="31" customWidth="1"/>
    <col min="15874" max="15874" width="10.7109375" style="31" customWidth="1"/>
    <col min="15875" max="15875" width="10.42578125" style="31" customWidth="1"/>
    <col min="15876" max="15876" width="10.5703125" style="31" customWidth="1"/>
    <col min="15877" max="15877" width="10.42578125" style="31" customWidth="1"/>
    <col min="15878" max="15880" width="10.5703125" style="31" customWidth="1"/>
    <col min="15881" max="15883" width="10.42578125" style="31" customWidth="1"/>
    <col min="15884" max="15884" width="10.5703125" style="31" customWidth="1"/>
    <col min="15885" max="15885" width="10.28515625" style="31" customWidth="1"/>
    <col min="15886" max="15886" width="10.140625" style="31" customWidth="1"/>
    <col min="15887" max="15887" width="11.7109375" style="31" customWidth="1"/>
    <col min="15888" max="15888" width="12.42578125" style="31" customWidth="1"/>
    <col min="15889" max="15889" width="11.7109375" style="31" customWidth="1"/>
    <col min="15890" max="15890" width="13.140625" style="31" customWidth="1"/>
    <col min="15891" max="16126" width="9.140625" style="31"/>
    <col min="16127" max="16127" width="3.7109375" style="31" customWidth="1"/>
    <col min="16128" max="16128" width="30.42578125" style="31" customWidth="1"/>
    <col min="16129" max="16129" width="7.140625" style="31" customWidth="1"/>
    <col min="16130" max="16130" width="10.7109375" style="31" customWidth="1"/>
    <col min="16131" max="16131" width="10.42578125" style="31" customWidth="1"/>
    <col min="16132" max="16132" width="10.5703125" style="31" customWidth="1"/>
    <col min="16133" max="16133" width="10.42578125" style="31" customWidth="1"/>
    <col min="16134" max="16136" width="10.5703125" style="31" customWidth="1"/>
    <col min="16137" max="16139" width="10.42578125" style="31" customWidth="1"/>
    <col min="16140" max="16140" width="10.5703125" style="31" customWidth="1"/>
    <col min="16141" max="16141" width="10.28515625" style="31" customWidth="1"/>
    <col min="16142" max="16142" width="10.140625" style="31" customWidth="1"/>
    <col min="16143" max="16143" width="11.7109375" style="31" customWidth="1"/>
    <col min="16144" max="16144" width="12.42578125" style="31" customWidth="1"/>
    <col min="16145" max="16145" width="11.7109375" style="31" customWidth="1"/>
    <col min="16146" max="16146" width="13.140625" style="31" customWidth="1"/>
    <col min="16147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154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8.75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" t="s">
        <v>1</v>
      </c>
      <c r="B4" s="3" t="s">
        <v>2</v>
      </c>
      <c r="C4" s="4"/>
      <c r="D4" s="5" t="s">
        <v>3</v>
      </c>
      <c r="E4" s="6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6" t="s">
        <v>15</v>
      </c>
      <c r="Q4" s="6" t="s">
        <v>155</v>
      </c>
      <c r="R4" s="6" t="s">
        <v>156</v>
      </c>
      <c r="S4" s="8" t="s">
        <v>157</v>
      </c>
    </row>
    <row r="5" spans="1:19" s="15" customFormat="1" ht="25.5">
      <c r="A5" s="10" t="s">
        <v>16</v>
      </c>
      <c r="B5" s="11" t="s">
        <v>158</v>
      </c>
      <c r="C5" s="12">
        <v>31</v>
      </c>
      <c r="D5" s="13">
        <v>134</v>
      </c>
      <c r="E5" s="13">
        <v>158</v>
      </c>
      <c r="F5" s="13">
        <v>163</v>
      </c>
      <c r="G5" s="13">
        <v>124</v>
      </c>
      <c r="H5" s="13">
        <v>126</v>
      </c>
      <c r="I5" s="13">
        <v>76</v>
      </c>
      <c r="J5" s="13">
        <v>113</v>
      </c>
      <c r="K5" s="13">
        <v>94</v>
      </c>
      <c r="L5" s="13">
        <v>53</v>
      </c>
      <c r="M5" s="13">
        <v>131</v>
      </c>
      <c r="N5" s="13">
        <v>67</v>
      </c>
      <c r="O5" s="13">
        <v>64</v>
      </c>
      <c r="P5" s="13">
        <v>59</v>
      </c>
      <c r="Q5" s="13">
        <f>SUM(D5:P5)</f>
        <v>1362</v>
      </c>
      <c r="R5" s="13">
        <v>1373</v>
      </c>
      <c r="S5" s="58">
        <v>1414</v>
      </c>
    </row>
    <row r="6" spans="1:19" s="21" customFormat="1">
      <c r="A6" s="16"/>
      <c r="B6" s="17" t="s">
        <v>17</v>
      </c>
      <c r="C6" s="18"/>
      <c r="D6" s="13">
        <v>40</v>
      </c>
      <c r="E6" s="13">
        <v>91</v>
      </c>
      <c r="F6" s="13">
        <v>33</v>
      </c>
      <c r="G6" s="13">
        <v>103</v>
      </c>
      <c r="H6" s="13">
        <v>27</v>
      </c>
      <c r="I6" s="13">
        <v>23</v>
      </c>
      <c r="J6" s="13">
        <v>35</v>
      </c>
      <c r="K6" s="13">
        <v>114</v>
      </c>
      <c r="L6" s="13">
        <v>60</v>
      </c>
      <c r="M6" s="13">
        <v>25</v>
      </c>
      <c r="N6" s="13">
        <v>36</v>
      </c>
      <c r="O6" s="13">
        <v>15</v>
      </c>
      <c r="P6" s="13">
        <v>0</v>
      </c>
      <c r="Q6" s="19">
        <f>SUM(D6:P6)</f>
        <v>602</v>
      </c>
      <c r="R6" s="19">
        <v>602</v>
      </c>
      <c r="S6" s="96">
        <v>653</v>
      </c>
    </row>
    <row r="7" spans="1:19" s="27" customFormat="1" ht="15">
      <c r="A7" s="22"/>
      <c r="B7" s="23" t="s">
        <v>18</v>
      </c>
      <c r="C7" s="24"/>
      <c r="D7" s="25">
        <f>SUM(D5:D6)</f>
        <v>174</v>
      </c>
      <c r="E7" s="25">
        <f t="shared" ref="E7:P7" si="0">SUM(E5:E6)</f>
        <v>249</v>
      </c>
      <c r="F7" s="25">
        <f t="shared" si="0"/>
        <v>196</v>
      </c>
      <c r="G7" s="25">
        <f t="shared" si="0"/>
        <v>227</v>
      </c>
      <c r="H7" s="25">
        <f t="shared" si="0"/>
        <v>153</v>
      </c>
      <c r="I7" s="25">
        <f t="shared" si="0"/>
        <v>99</v>
      </c>
      <c r="J7" s="25">
        <f t="shared" si="0"/>
        <v>148</v>
      </c>
      <c r="K7" s="25">
        <f t="shared" si="0"/>
        <v>208</v>
      </c>
      <c r="L7" s="25">
        <f t="shared" si="0"/>
        <v>113</v>
      </c>
      <c r="M7" s="25">
        <f t="shared" si="0"/>
        <v>156</v>
      </c>
      <c r="N7" s="25">
        <f t="shared" si="0"/>
        <v>103</v>
      </c>
      <c r="O7" s="25">
        <f t="shared" si="0"/>
        <v>79</v>
      </c>
      <c r="P7" s="25">
        <f t="shared" si="0"/>
        <v>59</v>
      </c>
      <c r="Q7" s="25">
        <f>SUM(D7:P7)</f>
        <v>1964</v>
      </c>
      <c r="R7" s="25">
        <v>1975</v>
      </c>
      <c r="S7" s="26">
        <v>2087</v>
      </c>
    </row>
    <row r="8" spans="1:19">
      <c r="A8" s="28" t="s">
        <v>19</v>
      </c>
      <c r="B8" s="11" t="s">
        <v>20</v>
      </c>
      <c r="C8" s="29"/>
      <c r="D8" s="13">
        <v>134</v>
      </c>
      <c r="E8" s="13">
        <v>158</v>
      </c>
      <c r="F8" s="13">
        <v>164</v>
      </c>
      <c r="G8" s="13">
        <v>124</v>
      </c>
      <c r="H8" s="13">
        <v>126</v>
      </c>
      <c r="I8" s="13">
        <v>76</v>
      </c>
      <c r="J8" s="13">
        <v>113</v>
      </c>
      <c r="K8" s="13">
        <v>93</v>
      </c>
      <c r="L8" s="13">
        <v>53</v>
      </c>
      <c r="M8" s="13">
        <v>135</v>
      </c>
      <c r="N8" s="13">
        <v>67</v>
      </c>
      <c r="O8" s="13">
        <v>63</v>
      </c>
      <c r="P8" s="13">
        <v>59</v>
      </c>
      <c r="Q8" s="30">
        <f>SUM(D8:P8)</f>
        <v>1365</v>
      </c>
      <c r="R8" s="30">
        <v>1377</v>
      </c>
      <c r="S8" s="171">
        <v>1429</v>
      </c>
    </row>
    <row r="9" spans="1:19">
      <c r="A9" s="16"/>
      <c r="B9" s="17" t="s">
        <v>21</v>
      </c>
      <c r="C9" s="18"/>
      <c r="D9" s="13">
        <f>D6</f>
        <v>40</v>
      </c>
      <c r="E9" s="13">
        <f t="shared" ref="E9:P9" si="1">E6</f>
        <v>91</v>
      </c>
      <c r="F9" s="13">
        <f t="shared" si="1"/>
        <v>33</v>
      </c>
      <c r="G9" s="13">
        <f t="shared" si="1"/>
        <v>103</v>
      </c>
      <c r="H9" s="13">
        <f t="shared" si="1"/>
        <v>27</v>
      </c>
      <c r="I9" s="13">
        <f t="shared" si="1"/>
        <v>23</v>
      </c>
      <c r="J9" s="13">
        <f t="shared" si="1"/>
        <v>35</v>
      </c>
      <c r="K9" s="13">
        <f t="shared" si="1"/>
        <v>114</v>
      </c>
      <c r="L9" s="13">
        <f t="shared" si="1"/>
        <v>60</v>
      </c>
      <c r="M9" s="13">
        <f t="shared" si="1"/>
        <v>25</v>
      </c>
      <c r="N9" s="13">
        <f t="shared" si="1"/>
        <v>36</v>
      </c>
      <c r="O9" s="13">
        <f t="shared" si="1"/>
        <v>15</v>
      </c>
      <c r="P9" s="13">
        <f t="shared" si="1"/>
        <v>0</v>
      </c>
      <c r="Q9" s="13">
        <f>SUM(D9:P9)</f>
        <v>602</v>
      </c>
      <c r="R9" s="13">
        <v>602</v>
      </c>
      <c r="S9" s="58">
        <v>653</v>
      </c>
    </row>
    <row r="10" spans="1:19" s="33" customFormat="1" ht="15">
      <c r="A10" s="22"/>
      <c r="B10" s="23" t="s">
        <v>22</v>
      </c>
      <c r="C10" s="24"/>
      <c r="D10" s="32">
        <f>SUM(D8:D9)</f>
        <v>174</v>
      </c>
      <c r="E10" s="32">
        <f t="shared" ref="E10:P10" si="2">SUM(E8:E9)</f>
        <v>249</v>
      </c>
      <c r="F10" s="32">
        <f t="shared" si="2"/>
        <v>197</v>
      </c>
      <c r="G10" s="32">
        <f t="shared" si="2"/>
        <v>227</v>
      </c>
      <c r="H10" s="32">
        <f t="shared" si="2"/>
        <v>153</v>
      </c>
      <c r="I10" s="32">
        <f t="shared" si="2"/>
        <v>99</v>
      </c>
      <c r="J10" s="32">
        <f t="shared" si="2"/>
        <v>148</v>
      </c>
      <c r="K10" s="32">
        <f t="shared" si="2"/>
        <v>207</v>
      </c>
      <c r="L10" s="32">
        <f t="shared" si="2"/>
        <v>113</v>
      </c>
      <c r="M10" s="32">
        <f t="shared" si="2"/>
        <v>160</v>
      </c>
      <c r="N10" s="32">
        <f t="shared" si="2"/>
        <v>103</v>
      </c>
      <c r="O10" s="32">
        <f t="shared" si="2"/>
        <v>78</v>
      </c>
      <c r="P10" s="32">
        <f t="shared" si="2"/>
        <v>59</v>
      </c>
      <c r="Q10" s="32">
        <f>SUM(Q8:Q9)</f>
        <v>1967</v>
      </c>
      <c r="R10" s="32">
        <v>1979</v>
      </c>
      <c r="S10" s="48">
        <v>2082</v>
      </c>
    </row>
    <row r="11" spans="1:19" s="15" customFormat="1" ht="25.5">
      <c r="A11" s="10" t="s">
        <v>23</v>
      </c>
      <c r="B11" s="11" t="s">
        <v>24</v>
      </c>
      <c r="C11" s="35"/>
      <c r="D11" s="13">
        <v>96</v>
      </c>
      <c r="E11" s="13">
        <v>105</v>
      </c>
      <c r="F11" s="13">
        <v>95</v>
      </c>
      <c r="G11" s="13">
        <v>86</v>
      </c>
      <c r="H11" s="13">
        <v>88</v>
      </c>
      <c r="I11" s="13">
        <v>52</v>
      </c>
      <c r="J11" s="13">
        <v>76</v>
      </c>
      <c r="K11" s="13">
        <v>59</v>
      </c>
      <c r="L11" s="13">
        <v>40</v>
      </c>
      <c r="M11" s="13">
        <v>80</v>
      </c>
      <c r="N11" s="13">
        <v>42</v>
      </c>
      <c r="O11" s="13">
        <v>44</v>
      </c>
      <c r="P11" s="13">
        <v>39</v>
      </c>
      <c r="Q11" s="36">
        <f>SUM(D11:P11)</f>
        <v>902</v>
      </c>
      <c r="R11" s="36">
        <v>940</v>
      </c>
      <c r="S11" s="49">
        <v>920</v>
      </c>
    </row>
    <row r="12" spans="1:19" s="21" customFormat="1">
      <c r="A12" s="16"/>
      <c r="B12" s="17" t="s">
        <v>25</v>
      </c>
      <c r="C12" s="18"/>
      <c r="D12" s="13">
        <v>5</v>
      </c>
      <c r="E12" s="13">
        <v>5</v>
      </c>
      <c r="F12" s="13">
        <v>0</v>
      </c>
      <c r="G12" s="13">
        <v>1</v>
      </c>
      <c r="H12" s="13">
        <v>2</v>
      </c>
      <c r="I12" s="13">
        <v>1</v>
      </c>
      <c r="J12" s="13">
        <v>19</v>
      </c>
      <c r="K12" s="13">
        <v>9</v>
      </c>
      <c r="L12" s="13">
        <v>2</v>
      </c>
      <c r="M12" s="13">
        <v>1</v>
      </c>
      <c r="N12" s="13">
        <v>7</v>
      </c>
      <c r="O12" s="13">
        <v>2</v>
      </c>
      <c r="P12" s="13">
        <v>1</v>
      </c>
      <c r="Q12" s="37">
        <f>SUM(D12:P12)</f>
        <v>55</v>
      </c>
      <c r="R12" s="37">
        <v>54</v>
      </c>
      <c r="S12" s="38">
        <v>95</v>
      </c>
    </row>
    <row r="13" spans="1:19" s="21" customFormat="1">
      <c r="A13" s="16"/>
      <c r="B13" s="34" t="s">
        <v>26</v>
      </c>
      <c r="C13" s="18"/>
      <c r="D13" s="37">
        <f>D11+D12</f>
        <v>101</v>
      </c>
      <c r="E13" s="37">
        <f t="shared" ref="E13:Q13" si="3">E11+E12</f>
        <v>110</v>
      </c>
      <c r="F13" s="37">
        <f t="shared" si="3"/>
        <v>95</v>
      </c>
      <c r="G13" s="37">
        <f t="shared" si="3"/>
        <v>87</v>
      </c>
      <c r="H13" s="37">
        <f t="shared" si="3"/>
        <v>90</v>
      </c>
      <c r="I13" s="37">
        <f t="shared" si="3"/>
        <v>53</v>
      </c>
      <c r="J13" s="37">
        <f t="shared" si="3"/>
        <v>95</v>
      </c>
      <c r="K13" s="37">
        <f t="shared" si="3"/>
        <v>68</v>
      </c>
      <c r="L13" s="37">
        <f t="shared" si="3"/>
        <v>42</v>
      </c>
      <c r="M13" s="37">
        <f t="shared" si="3"/>
        <v>81</v>
      </c>
      <c r="N13" s="37">
        <f t="shared" si="3"/>
        <v>49</v>
      </c>
      <c r="O13" s="37">
        <f t="shared" si="3"/>
        <v>46</v>
      </c>
      <c r="P13" s="37">
        <f t="shared" si="3"/>
        <v>40</v>
      </c>
      <c r="Q13" s="37">
        <f t="shared" si="3"/>
        <v>957</v>
      </c>
      <c r="R13" s="37">
        <v>994</v>
      </c>
      <c r="S13" s="38">
        <v>1015</v>
      </c>
    </row>
    <row r="14" spans="1:19" s="21" customFormat="1">
      <c r="A14" s="39"/>
      <c r="B14" s="40" t="s">
        <v>27</v>
      </c>
      <c r="C14" s="41"/>
      <c r="D14" s="42">
        <f t="shared" ref="D14:Q14" si="4">D12/D8*100</f>
        <v>3.7313432835820892</v>
      </c>
      <c r="E14" s="42">
        <f t="shared" si="4"/>
        <v>3.1645569620253164</v>
      </c>
      <c r="F14" s="42">
        <f t="shared" si="4"/>
        <v>0</v>
      </c>
      <c r="G14" s="42">
        <f t="shared" si="4"/>
        <v>0.80645161290322576</v>
      </c>
      <c r="H14" s="42">
        <f t="shared" si="4"/>
        <v>1.5873015873015872</v>
      </c>
      <c r="I14" s="42">
        <f t="shared" si="4"/>
        <v>1.3157894736842104</v>
      </c>
      <c r="J14" s="42">
        <f t="shared" si="4"/>
        <v>16.814159292035399</v>
      </c>
      <c r="K14" s="42">
        <f t="shared" si="4"/>
        <v>9.67741935483871</v>
      </c>
      <c r="L14" s="42">
        <f t="shared" si="4"/>
        <v>3.7735849056603774</v>
      </c>
      <c r="M14" s="42">
        <f t="shared" si="4"/>
        <v>0.74074074074074081</v>
      </c>
      <c r="N14" s="42">
        <f t="shared" si="4"/>
        <v>10.44776119402985</v>
      </c>
      <c r="O14" s="42">
        <f t="shared" si="4"/>
        <v>3.1746031746031744</v>
      </c>
      <c r="P14" s="42">
        <f t="shared" si="4"/>
        <v>1.6949152542372881</v>
      </c>
      <c r="Q14" s="42">
        <f t="shared" si="4"/>
        <v>4.0293040293040292</v>
      </c>
      <c r="R14" s="42">
        <v>3.9215686274509802</v>
      </c>
      <c r="S14" s="43">
        <v>6.65</v>
      </c>
    </row>
    <row r="15" spans="1:19" s="21" customFormat="1">
      <c r="A15" s="28" t="s">
        <v>28</v>
      </c>
      <c r="B15" s="34" t="s">
        <v>29</v>
      </c>
      <c r="C15" s="29"/>
      <c r="D15" s="13">
        <f>D11</f>
        <v>96</v>
      </c>
      <c r="E15" s="13">
        <f t="shared" ref="E15:P15" si="5">E11</f>
        <v>105</v>
      </c>
      <c r="F15" s="13">
        <f t="shared" si="5"/>
        <v>95</v>
      </c>
      <c r="G15" s="13">
        <f t="shared" si="5"/>
        <v>86</v>
      </c>
      <c r="H15" s="13">
        <f t="shared" si="5"/>
        <v>88</v>
      </c>
      <c r="I15" s="13">
        <f t="shared" si="5"/>
        <v>52</v>
      </c>
      <c r="J15" s="13">
        <f t="shared" si="5"/>
        <v>76</v>
      </c>
      <c r="K15" s="13">
        <f t="shared" si="5"/>
        <v>59</v>
      </c>
      <c r="L15" s="44">
        <f t="shared" si="5"/>
        <v>40</v>
      </c>
      <c r="M15" s="13">
        <f t="shared" si="5"/>
        <v>80</v>
      </c>
      <c r="N15" s="13">
        <f t="shared" si="5"/>
        <v>42</v>
      </c>
      <c r="O15" s="13">
        <f t="shared" si="5"/>
        <v>44</v>
      </c>
      <c r="P15" s="13">
        <f t="shared" si="5"/>
        <v>39</v>
      </c>
      <c r="Q15" s="45">
        <f>SUM(D15:P15)</f>
        <v>902</v>
      </c>
      <c r="R15" s="45">
        <v>940</v>
      </c>
      <c r="S15" s="46">
        <v>920</v>
      </c>
    </row>
    <row r="16" spans="1:19" s="21" customFormat="1">
      <c r="A16" s="16"/>
      <c r="B16" s="17" t="s">
        <v>21</v>
      </c>
      <c r="C16" s="18"/>
      <c r="D16" s="13">
        <v>24</v>
      </c>
      <c r="E16" s="13">
        <v>60</v>
      </c>
      <c r="F16" s="13">
        <v>19</v>
      </c>
      <c r="G16" s="13">
        <v>77</v>
      </c>
      <c r="H16" s="13">
        <v>19</v>
      </c>
      <c r="I16" s="13">
        <v>13</v>
      </c>
      <c r="J16" s="13">
        <v>21</v>
      </c>
      <c r="K16" s="13">
        <v>78</v>
      </c>
      <c r="L16" s="13">
        <v>50</v>
      </c>
      <c r="M16" s="13">
        <v>18</v>
      </c>
      <c r="N16" s="13">
        <v>32</v>
      </c>
      <c r="O16" s="13">
        <v>9</v>
      </c>
      <c r="P16" s="13">
        <v>0</v>
      </c>
      <c r="Q16" s="37">
        <f>SUM(D16:P16)</f>
        <v>420</v>
      </c>
      <c r="R16" s="37">
        <v>415</v>
      </c>
      <c r="S16" s="38">
        <v>414</v>
      </c>
    </row>
    <row r="17" spans="1:19" s="27" customFormat="1" ht="15">
      <c r="A17" s="22"/>
      <c r="B17" s="47" t="s">
        <v>30</v>
      </c>
      <c r="C17" s="24"/>
      <c r="D17" s="32">
        <f>SUM(D15:D16)</f>
        <v>120</v>
      </c>
      <c r="E17" s="32">
        <f t="shared" ref="E17:Q17" si="6">SUM(E15:E16)</f>
        <v>165</v>
      </c>
      <c r="F17" s="32">
        <f t="shared" si="6"/>
        <v>114</v>
      </c>
      <c r="G17" s="32">
        <f t="shared" si="6"/>
        <v>163</v>
      </c>
      <c r="H17" s="32">
        <f t="shared" si="6"/>
        <v>107</v>
      </c>
      <c r="I17" s="32">
        <f t="shared" si="6"/>
        <v>65</v>
      </c>
      <c r="J17" s="32">
        <f t="shared" si="6"/>
        <v>97</v>
      </c>
      <c r="K17" s="32">
        <f t="shared" si="6"/>
        <v>137</v>
      </c>
      <c r="L17" s="32">
        <f t="shared" si="6"/>
        <v>90</v>
      </c>
      <c r="M17" s="32">
        <f t="shared" si="6"/>
        <v>98</v>
      </c>
      <c r="N17" s="32">
        <f t="shared" si="6"/>
        <v>74</v>
      </c>
      <c r="O17" s="32">
        <f t="shared" si="6"/>
        <v>53</v>
      </c>
      <c r="P17" s="32">
        <f t="shared" si="6"/>
        <v>39</v>
      </c>
      <c r="Q17" s="32">
        <f t="shared" si="6"/>
        <v>1322</v>
      </c>
      <c r="R17" s="32">
        <v>1355</v>
      </c>
      <c r="S17" s="48">
        <v>1334</v>
      </c>
    </row>
    <row r="18" spans="1:19" s="15" customFormat="1" ht="25.5">
      <c r="A18" s="10">
        <v>3</v>
      </c>
      <c r="B18" s="11" t="s">
        <v>31</v>
      </c>
      <c r="C18" s="35"/>
      <c r="D18" s="19">
        <f>D8-D11</f>
        <v>38</v>
      </c>
      <c r="E18" s="19">
        <f t="shared" ref="E18:Q18" si="7">E8-E11</f>
        <v>53</v>
      </c>
      <c r="F18" s="19">
        <f t="shared" si="7"/>
        <v>69</v>
      </c>
      <c r="G18" s="19">
        <f t="shared" si="7"/>
        <v>38</v>
      </c>
      <c r="H18" s="19">
        <f t="shared" si="7"/>
        <v>38</v>
      </c>
      <c r="I18" s="19">
        <f t="shared" si="7"/>
        <v>24</v>
      </c>
      <c r="J18" s="19">
        <f t="shared" si="7"/>
        <v>37</v>
      </c>
      <c r="K18" s="19">
        <f t="shared" si="7"/>
        <v>34</v>
      </c>
      <c r="L18" s="19">
        <f t="shared" si="7"/>
        <v>13</v>
      </c>
      <c r="M18" s="19">
        <f t="shared" si="7"/>
        <v>55</v>
      </c>
      <c r="N18" s="19">
        <f t="shared" si="7"/>
        <v>25</v>
      </c>
      <c r="O18" s="19">
        <f t="shared" si="7"/>
        <v>19</v>
      </c>
      <c r="P18" s="19">
        <f t="shared" si="7"/>
        <v>20</v>
      </c>
      <c r="Q18" s="19">
        <f t="shared" si="7"/>
        <v>463</v>
      </c>
      <c r="R18" s="19">
        <v>437</v>
      </c>
      <c r="S18" s="96">
        <v>509</v>
      </c>
    </row>
    <row r="19" spans="1:19" s="21" customFormat="1">
      <c r="A19" s="16"/>
      <c r="B19" s="17" t="s">
        <v>21</v>
      </c>
      <c r="C19" s="18"/>
      <c r="D19" s="19">
        <f>D6-D16</f>
        <v>16</v>
      </c>
      <c r="E19" s="19">
        <f t="shared" ref="E19:Q19" si="8">E6-E16</f>
        <v>31</v>
      </c>
      <c r="F19" s="19">
        <f t="shared" si="8"/>
        <v>14</v>
      </c>
      <c r="G19" s="19">
        <f t="shared" si="8"/>
        <v>26</v>
      </c>
      <c r="H19" s="19">
        <f t="shared" si="8"/>
        <v>8</v>
      </c>
      <c r="I19" s="19">
        <f t="shared" si="8"/>
        <v>10</v>
      </c>
      <c r="J19" s="19">
        <f t="shared" si="8"/>
        <v>14</v>
      </c>
      <c r="K19" s="19">
        <f t="shared" si="8"/>
        <v>36</v>
      </c>
      <c r="L19" s="19">
        <f t="shared" si="8"/>
        <v>10</v>
      </c>
      <c r="M19" s="19">
        <f t="shared" si="8"/>
        <v>7</v>
      </c>
      <c r="N19" s="19">
        <f t="shared" si="8"/>
        <v>4</v>
      </c>
      <c r="O19" s="19">
        <f t="shared" si="8"/>
        <v>6</v>
      </c>
      <c r="P19" s="19">
        <f t="shared" si="8"/>
        <v>0</v>
      </c>
      <c r="Q19" s="19">
        <f t="shared" si="8"/>
        <v>182</v>
      </c>
      <c r="R19" s="19">
        <v>187</v>
      </c>
      <c r="S19" s="38">
        <v>239</v>
      </c>
    </row>
    <row r="20" spans="1:19" s="21" customFormat="1">
      <c r="A20" s="16"/>
      <c r="B20" s="50" t="s">
        <v>32</v>
      </c>
      <c r="C20" s="18"/>
      <c r="D20" s="37">
        <f t="shared" ref="D20:P20" si="9">SUM(D18:D19)</f>
        <v>54</v>
      </c>
      <c r="E20" s="37">
        <f t="shared" si="9"/>
        <v>84</v>
      </c>
      <c r="F20" s="37">
        <f t="shared" si="9"/>
        <v>83</v>
      </c>
      <c r="G20" s="37">
        <f t="shared" si="9"/>
        <v>64</v>
      </c>
      <c r="H20" s="37">
        <f t="shared" si="9"/>
        <v>46</v>
      </c>
      <c r="I20" s="37">
        <f>SUM(I18:I19)</f>
        <v>34</v>
      </c>
      <c r="J20" s="37">
        <f>SUM(J18:J19)</f>
        <v>51</v>
      </c>
      <c r="K20" s="37">
        <f t="shared" si="9"/>
        <v>70</v>
      </c>
      <c r="L20" s="37">
        <f t="shared" si="9"/>
        <v>23</v>
      </c>
      <c r="M20" s="37">
        <f>SUM(M18:M19)</f>
        <v>62</v>
      </c>
      <c r="N20" s="37">
        <f t="shared" si="9"/>
        <v>29</v>
      </c>
      <c r="O20" s="37">
        <f t="shared" si="9"/>
        <v>25</v>
      </c>
      <c r="P20" s="37">
        <f t="shared" si="9"/>
        <v>20</v>
      </c>
      <c r="Q20" s="37">
        <f>SUM(D20:P20)</f>
        <v>645</v>
      </c>
      <c r="R20" s="37">
        <v>624</v>
      </c>
      <c r="S20" s="38">
        <v>748</v>
      </c>
    </row>
    <row r="21" spans="1:19" s="21" customFormat="1" ht="25.5">
      <c r="A21" s="16"/>
      <c r="B21" s="17" t="s">
        <v>33</v>
      </c>
      <c r="C21" s="18"/>
      <c r="D21" s="13">
        <v>33</v>
      </c>
      <c r="E21" s="13">
        <v>48</v>
      </c>
      <c r="F21" s="13">
        <v>69</v>
      </c>
      <c r="G21" s="13">
        <v>38</v>
      </c>
      <c r="H21" s="13">
        <v>36</v>
      </c>
      <c r="I21" s="13">
        <v>22</v>
      </c>
      <c r="J21" s="13">
        <v>18</v>
      </c>
      <c r="K21" s="13">
        <v>25</v>
      </c>
      <c r="L21" s="13">
        <v>11</v>
      </c>
      <c r="M21" s="13">
        <v>54</v>
      </c>
      <c r="N21" s="13">
        <v>18</v>
      </c>
      <c r="O21" s="13">
        <v>17</v>
      </c>
      <c r="P21" s="13">
        <v>20</v>
      </c>
      <c r="Q21" s="37">
        <f>SUM(D21:P21)</f>
        <v>409</v>
      </c>
      <c r="R21" s="37">
        <v>383</v>
      </c>
      <c r="S21" s="38">
        <v>414</v>
      </c>
    </row>
    <row r="22" spans="1:19" s="15" customFormat="1">
      <c r="A22" s="51"/>
      <c r="B22" s="52" t="s">
        <v>34</v>
      </c>
      <c r="C22" s="53"/>
      <c r="D22" s="42">
        <f t="shared" ref="D22:Q22" si="10">SUM(D21/D8*100)</f>
        <v>24.626865671641792</v>
      </c>
      <c r="E22" s="42">
        <f t="shared" si="10"/>
        <v>30.37974683544304</v>
      </c>
      <c r="F22" s="42">
        <f t="shared" si="10"/>
        <v>42.073170731707314</v>
      </c>
      <c r="G22" s="42">
        <f t="shared" si="10"/>
        <v>30.64516129032258</v>
      </c>
      <c r="H22" s="42">
        <f t="shared" si="10"/>
        <v>28.571428571428569</v>
      </c>
      <c r="I22" s="42">
        <f t="shared" si="10"/>
        <v>28.947368421052634</v>
      </c>
      <c r="J22" s="42">
        <f t="shared" si="10"/>
        <v>15.929203539823009</v>
      </c>
      <c r="K22" s="42">
        <f t="shared" si="10"/>
        <v>26.881720430107524</v>
      </c>
      <c r="L22" s="42">
        <f t="shared" si="10"/>
        <v>20.754716981132077</v>
      </c>
      <c r="M22" s="42">
        <f t="shared" si="10"/>
        <v>40</v>
      </c>
      <c r="N22" s="42">
        <f t="shared" si="10"/>
        <v>26.865671641791046</v>
      </c>
      <c r="O22" s="42">
        <f t="shared" si="10"/>
        <v>26.984126984126984</v>
      </c>
      <c r="P22" s="42">
        <f t="shared" si="10"/>
        <v>33.898305084745758</v>
      </c>
      <c r="Q22" s="42">
        <f t="shared" si="10"/>
        <v>29.963369963369964</v>
      </c>
      <c r="R22" s="42">
        <v>27.814088598402325</v>
      </c>
      <c r="S22" s="43">
        <v>28.97</v>
      </c>
    </row>
    <row r="23" spans="1:19" s="57" customFormat="1" ht="25.5">
      <c r="A23" s="54">
        <v>4</v>
      </c>
      <c r="B23" s="55" t="s">
        <v>35</v>
      </c>
      <c r="C23" s="56"/>
      <c r="D23" s="13">
        <v>164</v>
      </c>
      <c r="E23" s="13">
        <v>209</v>
      </c>
      <c r="F23" s="13">
        <v>164</v>
      </c>
      <c r="G23" s="13">
        <v>220</v>
      </c>
      <c r="H23" s="13">
        <v>130</v>
      </c>
      <c r="I23" s="13">
        <v>92</v>
      </c>
      <c r="J23" s="13">
        <v>127</v>
      </c>
      <c r="K23" s="13">
        <v>180</v>
      </c>
      <c r="L23" s="13">
        <v>97</v>
      </c>
      <c r="M23" s="13">
        <v>125</v>
      </c>
      <c r="N23" s="13">
        <v>84</v>
      </c>
      <c r="O23" s="13">
        <v>66</v>
      </c>
      <c r="P23" s="13">
        <v>42</v>
      </c>
      <c r="Q23" s="44">
        <f>SUM(D23:P23)</f>
        <v>1700</v>
      </c>
      <c r="R23" s="44">
        <v>1661</v>
      </c>
      <c r="S23" s="14">
        <v>16664</v>
      </c>
    </row>
    <row r="24" spans="1:19" s="15" customFormat="1" ht="38.25">
      <c r="A24" s="10">
        <v>5</v>
      </c>
      <c r="B24" s="11" t="s">
        <v>36</v>
      </c>
      <c r="C24" s="35"/>
      <c r="D24" s="13">
        <v>96</v>
      </c>
      <c r="E24" s="13">
        <v>101</v>
      </c>
      <c r="F24" s="13">
        <v>95</v>
      </c>
      <c r="G24" s="13">
        <v>84</v>
      </c>
      <c r="H24" s="13">
        <v>85</v>
      </c>
      <c r="I24" s="13">
        <v>52</v>
      </c>
      <c r="J24" s="13">
        <v>76</v>
      </c>
      <c r="K24" s="13">
        <v>59</v>
      </c>
      <c r="L24" s="13">
        <v>40</v>
      </c>
      <c r="M24" s="13">
        <v>80</v>
      </c>
      <c r="N24" s="13">
        <v>42</v>
      </c>
      <c r="O24" s="13">
        <v>44</v>
      </c>
      <c r="P24" s="13">
        <v>39</v>
      </c>
      <c r="Q24" s="45">
        <f t="shared" ref="Q24:Q29" si="11">SUM(D24:P24)</f>
        <v>893</v>
      </c>
      <c r="R24" s="45">
        <v>904</v>
      </c>
      <c r="S24" s="46">
        <v>908</v>
      </c>
    </row>
    <row r="25" spans="1:19" s="21" customFormat="1">
      <c r="A25" s="16"/>
      <c r="B25" s="17" t="s">
        <v>37</v>
      </c>
      <c r="C25" s="18"/>
      <c r="D25" s="13">
        <v>24</v>
      </c>
      <c r="E25" s="13">
        <v>60</v>
      </c>
      <c r="F25" s="13">
        <v>19</v>
      </c>
      <c r="G25" s="13">
        <v>77</v>
      </c>
      <c r="H25" s="13">
        <v>19</v>
      </c>
      <c r="I25" s="13">
        <v>13</v>
      </c>
      <c r="J25" s="13">
        <v>21</v>
      </c>
      <c r="K25" s="13">
        <v>79</v>
      </c>
      <c r="L25" s="13">
        <v>50</v>
      </c>
      <c r="M25" s="13">
        <v>17</v>
      </c>
      <c r="N25" s="13">
        <v>32</v>
      </c>
      <c r="O25" s="13">
        <v>9</v>
      </c>
      <c r="P25" s="13">
        <v>0</v>
      </c>
      <c r="Q25" s="37">
        <f t="shared" si="11"/>
        <v>420</v>
      </c>
      <c r="R25" s="37">
        <v>415</v>
      </c>
      <c r="S25" s="38">
        <v>414</v>
      </c>
    </row>
    <row r="26" spans="1:19" s="21" customFormat="1">
      <c r="A26" s="39"/>
      <c r="B26" s="40" t="s">
        <v>38</v>
      </c>
      <c r="C26" s="41"/>
      <c r="D26" s="59">
        <f t="shared" ref="D26:P26" si="12">SUM(D24:D25)</f>
        <v>120</v>
      </c>
      <c r="E26" s="59">
        <f t="shared" si="12"/>
        <v>161</v>
      </c>
      <c r="F26" s="59">
        <f t="shared" si="12"/>
        <v>114</v>
      </c>
      <c r="G26" s="59">
        <f t="shared" si="12"/>
        <v>161</v>
      </c>
      <c r="H26" s="59">
        <f t="shared" si="12"/>
        <v>104</v>
      </c>
      <c r="I26" s="59">
        <f>SUM(I24:I25)</f>
        <v>65</v>
      </c>
      <c r="J26" s="59">
        <f>SUM(J24:J25)</f>
        <v>97</v>
      </c>
      <c r="K26" s="59">
        <f t="shared" si="12"/>
        <v>138</v>
      </c>
      <c r="L26" s="59">
        <f t="shared" si="12"/>
        <v>90</v>
      </c>
      <c r="M26" s="59">
        <f>SUM(M24:M25)</f>
        <v>97</v>
      </c>
      <c r="N26" s="59">
        <f t="shared" si="12"/>
        <v>74</v>
      </c>
      <c r="O26" s="59">
        <f t="shared" si="12"/>
        <v>53</v>
      </c>
      <c r="P26" s="59">
        <f t="shared" si="12"/>
        <v>39</v>
      </c>
      <c r="Q26" s="59">
        <f t="shared" si="11"/>
        <v>1313</v>
      </c>
      <c r="R26" s="59">
        <v>1319</v>
      </c>
      <c r="S26" s="60">
        <v>1322</v>
      </c>
    </row>
    <row r="27" spans="1:19" s="27" customFormat="1">
      <c r="A27" s="61">
        <v>6</v>
      </c>
      <c r="B27" s="55" t="s">
        <v>39</v>
      </c>
      <c r="C27" s="56"/>
      <c r="D27" s="36">
        <v>1072162.9000000001</v>
      </c>
      <c r="E27" s="36">
        <v>1477165.5</v>
      </c>
      <c r="F27" s="36">
        <v>978394.1</v>
      </c>
      <c r="G27" s="36">
        <v>1364257.3</v>
      </c>
      <c r="H27" s="36">
        <v>1014902.7999999999</v>
      </c>
      <c r="I27" s="36">
        <v>562135.4</v>
      </c>
      <c r="J27" s="36">
        <v>803681.20000000007</v>
      </c>
      <c r="K27" s="36">
        <v>1439605.9000000001</v>
      </c>
      <c r="L27" s="36">
        <v>839077</v>
      </c>
      <c r="M27" s="36">
        <v>965632.95000000007</v>
      </c>
      <c r="N27" s="36">
        <v>590202.79999999993</v>
      </c>
      <c r="O27" s="36">
        <v>514333.4</v>
      </c>
      <c r="P27" s="36">
        <v>281241.3</v>
      </c>
      <c r="Q27" s="62">
        <f>SUM(D27:P27)</f>
        <v>11902792.550000003</v>
      </c>
      <c r="R27" s="62">
        <v>11676385.500000002</v>
      </c>
      <c r="S27" s="149">
        <v>12392011</v>
      </c>
    </row>
    <row r="28" spans="1:19" s="21" customFormat="1" ht="18" customHeight="1">
      <c r="A28" s="16">
        <v>7</v>
      </c>
      <c r="B28" s="17" t="s">
        <v>40</v>
      </c>
      <c r="C28" s="18"/>
      <c r="D28" s="13">
        <v>531610</v>
      </c>
      <c r="E28" s="13">
        <v>101975</v>
      </c>
      <c r="F28" s="13">
        <v>411460</v>
      </c>
      <c r="G28" s="13">
        <v>494589</v>
      </c>
      <c r="H28" s="13">
        <v>584757</v>
      </c>
      <c r="I28" s="13">
        <v>338358</v>
      </c>
      <c r="J28" s="13">
        <v>455897</v>
      </c>
      <c r="K28" s="13">
        <v>373784</v>
      </c>
      <c r="L28" s="13">
        <v>358733</v>
      </c>
      <c r="M28" s="13">
        <v>118725</v>
      </c>
      <c r="N28" s="13">
        <v>50406</v>
      </c>
      <c r="O28" s="13">
        <v>46018</v>
      </c>
      <c r="P28" s="13">
        <v>103251</v>
      </c>
      <c r="Q28" s="44">
        <f t="shared" si="11"/>
        <v>3969563</v>
      </c>
      <c r="R28" s="44">
        <v>3837115</v>
      </c>
      <c r="S28" s="14">
        <v>3886319</v>
      </c>
    </row>
    <row r="29" spans="1:19" s="21" customFormat="1" ht="18" customHeight="1">
      <c r="A29" s="16"/>
      <c r="B29" s="17" t="s">
        <v>41</v>
      </c>
      <c r="C29" s="18"/>
      <c r="D29" s="13">
        <v>73710</v>
      </c>
      <c r="E29" s="13">
        <v>554455</v>
      </c>
      <c r="F29" s="13">
        <v>115188</v>
      </c>
      <c r="G29" s="13">
        <v>0</v>
      </c>
      <c r="H29" s="13">
        <v>71848</v>
      </c>
      <c r="I29" s="13">
        <v>0</v>
      </c>
      <c r="J29" s="13">
        <v>13533</v>
      </c>
      <c r="K29" s="13">
        <v>72386</v>
      </c>
      <c r="L29" s="13">
        <v>0</v>
      </c>
      <c r="M29" s="13">
        <v>484224</v>
      </c>
      <c r="N29" s="13">
        <v>222151</v>
      </c>
      <c r="O29" s="13">
        <v>261257</v>
      </c>
      <c r="P29" s="13">
        <v>151830</v>
      </c>
      <c r="Q29" s="44">
        <f t="shared" si="11"/>
        <v>2020582</v>
      </c>
      <c r="R29" s="44">
        <v>1955819</v>
      </c>
      <c r="S29" s="14">
        <v>2018817</v>
      </c>
    </row>
    <row r="30" spans="1:19" s="21" customFormat="1" ht="18" customHeight="1">
      <c r="A30" s="16"/>
      <c r="B30" s="17" t="s">
        <v>42</v>
      </c>
      <c r="C30" s="18"/>
      <c r="D30" s="13">
        <f t="shared" ref="D30:Q30" si="13">SUM(D28:D29)</f>
        <v>605320</v>
      </c>
      <c r="E30" s="13">
        <f t="shared" si="13"/>
        <v>656430</v>
      </c>
      <c r="F30" s="13">
        <f t="shared" si="13"/>
        <v>526648</v>
      </c>
      <c r="G30" s="13">
        <f t="shared" si="13"/>
        <v>494589</v>
      </c>
      <c r="H30" s="13">
        <f t="shared" si="13"/>
        <v>656605</v>
      </c>
      <c r="I30" s="13">
        <f t="shared" si="13"/>
        <v>338358</v>
      </c>
      <c r="J30" s="13">
        <f t="shared" si="13"/>
        <v>469430</v>
      </c>
      <c r="K30" s="13">
        <f t="shared" si="13"/>
        <v>446170</v>
      </c>
      <c r="L30" s="13">
        <f t="shared" si="13"/>
        <v>358733</v>
      </c>
      <c r="M30" s="13">
        <f t="shared" si="13"/>
        <v>602949</v>
      </c>
      <c r="N30" s="13">
        <f t="shared" si="13"/>
        <v>272557</v>
      </c>
      <c r="O30" s="13">
        <f t="shared" si="13"/>
        <v>307275</v>
      </c>
      <c r="P30" s="13">
        <f t="shared" si="13"/>
        <v>255081</v>
      </c>
      <c r="Q30" s="63">
        <f t="shared" si="13"/>
        <v>5990145</v>
      </c>
      <c r="R30" s="63">
        <v>5792934</v>
      </c>
      <c r="S30" s="20">
        <v>5905136</v>
      </c>
    </row>
    <row r="31" spans="1:19" s="21" customFormat="1" ht="18" customHeight="1">
      <c r="A31" s="64"/>
      <c r="B31" s="17" t="s">
        <v>43</v>
      </c>
      <c r="C31" s="18"/>
      <c r="D31" s="13">
        <f>37014+121735</f>
        <v>158749</v>
      </c>
      <c r="E31" s="13">
        <v>453221</v>
      </c>
      <c r="F31" s="13">
        <f>80655+27083</f>
        <v>107738</v>
      </c>
      <c r="G31" s="13">
        <f>303283+183238</f>
        <v>486521</v>
      </c>
      <c r="H31" s="13">
        <v>114365</v>
      </c>
      <c r="I31" s="13">
        <f>77130+5726</f>
        <v>82856</v>
      </c>
      <c r="J31" s="13">
        <v>126276</v>
      </c>
      <c r="K31" s="13">
        <f>213430+302875</f>
        <v>516305</v>
      </c>
      <c r="L31" s="13">
        <f>47412+359628</f>
        <v>407040</v>
      </c>
      <c r="M31" s="13">
        <f>78484+48936</f>
        <v>127420</v>
      </c>
      <c r="N31" s="13">
        <f>45034+64084</f>
        <v>109118</v>
      </c>
      <c r="O31" s="13">
        <f>38824+17663</f>
        <v>56487</v>
      </c>
      <c r="P31" s="13">
        <v>0</v>
      </c>
      <c r="Q31" s="45">
        <f>SUM(D31:P31)</f>
        <v>2746096</v>
      </c>
      <c r="R31" s="37">
        <v>2629735</v>
      </c>
      <c r="S31" s="46">
        <v>2800944</v>
      </c>
    </row>
    <row r="32" spans="1:19" s="21" customFormat="1" ht="18" customHeight="1">
      <c r="A32" s="64"/>
      <c r="B32" s="17" t="s">
        <v>153</v>
      </c>
      <c r="C32" s="18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75032</v>
      </c>
      <c r="L32" s="13">
        <v>0</v>
      </c>
      <c r="M32" s="13">
        <v>0</v>
      </c>
      <c r="N32" s="13">
        <v>104618</v>
      </c>
      <c r="O32" s="13">
        <v>0</v>
      </c>
      <c r="P32" s="13">
        <v>0</v>
      </c>
      <c r="Q32" s="45">
        <f>SUM(D32:P32)</f>
        <v>179650</v>
      </c>
      <c r="R32" s="137">
        <v>174590</v>
      </c>
      <c r="S32" s="38">
        <v>0</v>
      </c>
    </row>
    <row r="33" spans="1:19" s="21" customFormat="1" ht="18" customHeight="1">
      <c r="A33" s="64"/>
      <c r="B33" s="17" t="s">
        <v>150</v>
      </c>
      <c r="C33" s="18"/>
      <c r="D33" s="13">
        <f>SUM(D31:D32)</f>
        <v>158749</v>
      </c>
      <c r="E33" s="13">
        <f t="shared" ref="E33:Q33" si="14">SUM(E31:E32)</f>
        <v>453221</v>
      </c>
      <c r="F33" s="13">
        <f t="shared" si="14"/>
        <v>107738</v>
      </c>
      <c r="G33" s="13">
        <f t="shared" si="14"/>
        <v>486521</v>
      </c>
      <c r="H33" s="13">
        <f t="shared" si="14"/>
        <v>114365</v>
      </c>
      <c r="I33" s="13">
        <f t="shared" si="14"/>
        <v>82856</v>
      </c>
      <c r="J33" s="13">
        <f t="shared" si="14"/>
        <v>126276</v>
      </c>
      <c r="K33" s="13">
        <f t="shared" si="14"/>
        <v>591337</v>
      </c>
      <c r="L33" s="13">
        <f t="shared" si="14"/>
        <v>407040</v>
      </c>
      <c r="M33" s="13">
        <f t="shared" si="14"/>
        <v>127420</v>
      </c>
      <c r="N33" s="13">
        <f t="shared" si="14"/>
        <v>213736</v>
      </c>
      <c r="O33" s="13">
        <f t="shared" si="14"/>
        <v>56487</v>
      </c>
      <c r="P33" s="13">
        <f t="shared" si="14"/>
        <v>0</v>
      </c>
      <c r="Q33" s="13">
        <f t="shared" si="14"/>
        <v>2925746</v>
      </c>
      <c r="R33" s="37">
        <v>2804325</v>
      </c>
      <c r="S33" s="58">
        <v>2800944</v>
      </c>
    </row>
    <row r="34" spans="1:19" s="27" customFormat="1" ht="25.5">
      <c r="A34" s="65"/>
      <c r="B34" s="66" t="s">
        <v>152</v>
      </c>
      <c r="C34" s="67"/>
      <c r="D34" s="68">
        <f>D30+D33</f>
        <v>764069</v>
      </c>
      <c r="E34" s="68">
        <f t="shared" ref="E34:Q34" si="15">E30+E33</f>
        <v>1109651</v>
      </c>
      <c r="F34" s="68">
        <f t="shared" si="15"/>
        <v>634386</v>
      </c>
      <c r="G34" s="68">
        <f t="shared" si="15"/>
        <v>981110</v>
      </c>
      <c r="H34" s="68">
        <f t="shared" si="15"/>
        <v>770970</v>
      </c>
      <c r="I34" s="68">
        <f t="shared" si="15"/>
        <v>421214</v>
      </c>
      <c r="J34" s="68">
        <f t="shared" si="15"/>
        <v>595706</v>
      </c>
      <c r="K34" s="68">
        <f t="shared" si="15"/>
        <v>1037507</v>
      </c>
      <c r="L34" s="68">
        <f t="shared" si="15"/>
        <v>765773</v>
      </c>
      <c r="M34" s="68">
        <f t="shared" si="15"/>
        <v>730369</v>
      </c>
      <c r="N34" s="68">
        <f t="shared" si="15"/>
        <v>486293</v>
      </c>
      <c r="O34" s="68">
        <f t="shared" si="15"/>
        <v>363762</v>
      </c>
      <c r="P34" s="68">
        <f t="shared" si="15"/>
        <v>255081</v>
      </c>
      <c r="Q34" s="68">
        <f t="shared" si="15"/>
        <v>8915891</v>
      </c>
      <c r="R34" s="68">
        <v>8597259</v>
      </c>
      <c r="S34" s="69">
        <v>8706080</v>
      </c>
    </row>
    <row r="35" spans="1:19" s="21" customFormat="1">
      <c r="A35" s="28"/>
      <c r="B35" s="11" t="s">
        <v>44</v>
      </c>
      <c r="C35" s="29"/>
      <c r="D35" s="45">
        <f>D34/C5</f>
        <v>24647.387096774193</v>
      </c>
      <c r="E35" s="45">
        <f>E34/C5</f>
        <v>35795.193548387098</v>
      </c>
      <c r="F35" s="45">
        <f>F34/C5</f>
        <v>20464.064516129034</v>
      </c>
      <c r="G35" s="45">
        <f>G34/C5</f>
        <v>31648.709677419356</v>
      </c>
      <c r="H35" s="45">
        <f>H34/C5</f>
        <v>24870</v>
      </c>
      <c r="I35" s="45">
        <f>I34/C5</f>
        <v>13587.548387096775</v>
      </c>
      <c r="J35" s="45">
        <f>J34/C5</f>
        <v>19216.322580645163</v>
      </c>
      <c r="K35" s="45">
        <f>K34/C5</f>
        <v>33467.967741935485</v>
      </c>
      <c r="L35" s="45">
        <f>L34/C5</f>
        <v>24702.354838709678</v>
      </c>
      <c r="M35" s="45">
        <f>M34/C5</f>
        <v>23560.290322580644</v>
      </c>
      <c r="N35" s="45">
        <f>N34/C5</f>
        <v>15686.870967741936</v>
      </c>
      <c r="O35" s="45">
        <f>O34/C5</f>
        <v>11734.258064516129</v>
      </c>
      <c r="P35" s="45">
        <f>P34/C5</f>
        <v>8228.4193548387102</v>
      </c>
      <c r="Q35" s="45">
        <f>Q34/C5</f>
        <v>287609.38709677418</v>
      </c>
      <c r="R35" s="37">
        <v>286575.3</v>
      </c>
      <c r="S35" s="46">
        <v>280841</v>
      </c>
    </row>
    <row r="36" spans="1:19" s="21" customFormat="1" ht="15" thickBot="1">
      <c r="A36" s="70"/>
      <c r="B36" s="71" t="s">
        <v>45</v>
      </c>
      <c r="C36" s="72"/>
      <c r="D36" s="73">
        <f t="shared" ref="D36:Q36" si="16">SUM((D35)/D17)</f>
        <v>205.39489247311829</v>
      </c>
      <c r="E36" s="73">
        <f t="shared" si="16"/>
        <v>216.9405669599218</v>
      </c>
      <c r="F36" s="73">
        <f t="shared" si="16"/>
        <v>179.50933786078099</v>
      </c>
      <c r="G36" s="73">
        <f t="shared" si="16"/>
        <v>194.1638630516525</v>
      </c>
      <c r="H36" s="73">
        <f t="shared" si="16"/>
        <v>232.42990654205607</v>
      </c>
      <c r="I36" s="73">
        <f t="shared" si="16"/>
        <v>209.03920595533501</v>
      </c>
      <c r="J36" s="73">
        <f t="shared" si="16"/>
        <v>198.10641835716663</v>
      </c>
      <c r="K36" s="73">
        <f t="shared" si="16"/>
        <v>244.29173534259479</v>
      </c>
      <c r="L36" s="73">
        <f t="shared" si="16"/>
        <v>274.47060931899642</v>
      </c>
      <c r="M36" s="73">
        <f t="shared" si="16"/>
        <v>240.41112574061881</v>
      </c>
      <c r="N36" s="73">
        <f t="shared" si="16"/>
        <v>211.98474280732344</v>
      </c>
      <c r="O36" s="73">
        <f t="shared" si="16"/>
        <v>221.4010955569081</v>
      </c>
      <c r="P36" s="73">
        <f t="shared" si="16"/>
        <v>210.98511166253104</v>
      </c>
      <c r="Q36" s="73">
        <f t="shared" si="16"/>
        <v>217.55626860572934</v>
      </c>
      <c r="R36" s="73">
        <v>211.49468634686346</v>
      </c>
      <c r="S36" s="74">
        <v>210.53</v>
      </c>
    </row>
    <row r="37" spans="1:19" s="21" customFormat="1" ht="15" thickTop="1">
      <c r="A37" s="28">
        <v>8</v>
      </c>
      <c r="B37" s="11" t="s">
        <v>46</v>
      </c>
      <c r="C37" s="2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14"/>
    </row>
    <row r="38" spans="1:19" s="21" customFormat="1">
      <c r="A38" s="64"/>
      <c r="B38" s="17" t="s">
        <v>47</v>
      </c>
      <c r="C38" s="18"/>
      <c r="D38" s="13">
        <v>5952</v>
      </c>
      <c r="E38" s="13">
        <v>2373</v>
      </c>
      <c r="F38" s="13">
        <v>12277</v>
      </c>
      <c r="G38" s="13">
        <v>12715</v>
      </c>
      <c r="H38" s="13">
        <v>5154</v>
      </c>
      <c r="I38" s="13">
        <v>6612</v>
      </c>
      <c r="J38" s="13">
        <v>5212</v>
      </c>
      <c r="K38" s="13">
        <v>5205</v>
      </c>
      <c r="L38" s="13">
        <v>3960</v>
      </c>
      <c r="M38" s="13">
        <v>2506</v>
      </c>
      <c r="N38" s="13">
        <v>930</v>
      </c>
      <c r="O38" s="13">
        <v>705</v>
      </c>
      <c r="P38" s="13">
        <v>2301</v>
      </c>
      <c r="Q38" s="37">
        <f>SUM(D38:P38)</f>
        <v>65902</v>
      </c>
      <c r="R38" s="97">
        <v>67366</v>
      </c>
      <c r="S38" s="38">
        <v>74534</v>
      </c>
    </row>
    <row r="39" spans="1:19" s="21" customFormat="1">
      <c r="A39" s="64"/>
      <c r="B39" s="17" t="s">
        <v>48</v>
      </c>
      <c r="C39" s="18"/>
      <c r="D39" s="13">
        <v>976</v>
      </c>
      <c r="E39" s="13">
        <v>17816</v>
      </c>
      <c r="F39" s="13">
        <v>8887</v>
      </c>
      <c r="G39" s="13">
        <v>0</v>
      </c>
      <c r="H39" s="13">
        <v>856</v>
      </c>
      <c r="I39" s="13">
        <v>0</v>
      </c>
      <c r="J39" s="13">
        <v>581</v>
      </c>
      <c r="K39" s="13">
        <v>1042</v>
      </c>
      <c r="L39" s="13">
        <v>0</v>
      </c>
      <c r="M39" s="13">
        <v>3073</v>
      </c>
      <c r="N39" s="13">
        <v>3816</v>
      </c>
      <c r="O39" s="13">
        <v>3960</v>
      </c>
      <c r="P39" s="13">
        <v>5750</v>
      </c>
      <c r="Q39" s="37">
        <f>SUM(D39:P39)</f>
        <v>46757</v>
      </c>
      <c r="R39" s="44">
        <v>45937</v>
      </c>
      <c r="S39" s="38">
        <v>54808</v>
      </c>
    </row>
    <row r="40" spans="1:19" s="21" customFormat="1" ht="25.5">
      <c r="A40" s="64"/>
      <c r="B40" s="17" t="s">
        <v>49</v>
      </c>
      <c r="C40" s="67"/>
      <c r="D40" s="75">
        <f t="shared" ref="D40:P40" si="17">SUM(D38:D39)</f>
        <v>6928</v>
      </c>
      <c r="E40" s="75">
        <f t="shared" si="17"/>
        <v>20189</v>
      </c>
      <c r="F40" s="75">
        <f t="shared" si="17"/>
        <v>21164</v>
      </c>
      <c r="G40" s="75">
        <f t="shared" si="17"/>
        <v>12715</v>
      </c>
      <c r="H40" s="75">
        <f t="shared" si="17"/>
        <v>6010</v>
      </c>
      <c r="I40" s="75">
        <f>SUM(I38:I39)</f>
        <v>6612</v>
      </c>
      <c r="J40" s="75">
        <f>SUM(J38:J39)</f>
        <v>5793</v>
      </c>
      <c r="K40" s="75">
        <f t="shared" si="17"/>
        <v>6247</v>
      </c>
      <c r="L40" s="75">
        <f t="shared" si="17"/>
        <v>3960</v>
      </c>
      <c r="M40" s="75">
        <f>SUM(M38:M39)</f>
        <v>5579</v>
      </c>
      <c r="N40" s="75">
        <f t="shared" si="17"/>
        <v>4746</v>
      </c>
      <c r="O40" s="75">
        <f t="shared" si="17"/>
        <v>4665</v>
      </c>
      <c r="P40" s="75">
        <f t="shared" si="17"/>
        <v>8051</v>
      </c>
      <c r="Q40" s="68">
        <f>SUM(D40:P40)</f>
        <v>112659</v>
      </c>
      <c r="R40" s="37">
        <v>113303</v>
      </c>
      <c r="S40" s="69">
        <v>129342</v>
      </c>
    </row>
    <row r="41" spans="1:19" s="21" customFormat="1">
      <c r="A41" s="16"/>
      <c r="B41" s="17" t="s">
        <v>50</v>
      </c>
      <c r="C41" s="18"/>
      <c r="D41" s="63">
        <f t="shared" ref="D41:P41" si="18">ROUND((D38)/$C5,0)</f>
        <v>192</v>
      </c>
      <c r="E41" s="63">
        <f t="shared" si="18"/>
        <v>77</v>
      </c>
      <c r="F41" s="63">
        <f t="shared" si="18"/>
        <v>396</v>
      </c>
      <c r="G41" s="63">
        <f t="shared" si="18"/>
        <v>410</v>
      </c>
      <c r="H41" s="63">
        <f t="shared" si="18"/>
        <v>166</v>
      </c>
      <c r="I41" s="63">
        <f t="shared" si="18"/>
        <v>213</v>
      </c>
      <c r="J41" s="63">
        <f t="shared" si="18"/>
        <v>168</v>
      </c>
      <c r="K41" s="63">
        <f t="shared" si="18"/>
        <v>168</v>
      </c>
      <c r="L41" s="63">
        <f t="shared" si="18"/>
        <v>128</v>
      </c>
      <c r="M41" s="63">
        <f t="shared" si="18"/>
        <v>81</v>
      </c>
      <c r="N41" s="63">
        <f t="shared" si="18"/>
        <v>30</v>
      </c>
      <c r="O41" s="63">
        <f t="shared" si="18"/>
        <v>23</v>
      </c>
      <c r="P41" s="63">
        <f t="shared" si="18"/>
        <v>74</v>
      </c>
      <c r="Q41" s="37">
        <f>Q38/C5</f>
        <v>2125.8709677419356</v>
      </c>
      <c r="R41" s="37">
        <v>2245.5333333333333</v>
      </c>
      <c r="S41" s="38">
        <v>2404.3225806451615</v>
      </c>
    </row>
    <row r="42" spans="1:19" s="21" customFormat="1">
      <c r="A42" s="16"/>
      <c r="B42" s="17" t="s">
        <v>51</v>
      </c>
      <c r="C42" s="18"/>
      <c r="D42" s="37">
        <f>SUM(D39/C5)</f>
        <v>31.483870967741936</v>
      </c>
      <c r="E42" s="37">
        <f>SUM(E39/C5)</f>
        <v>574.70967741935488</v>
      </c>
      <c r="F42" s="37">
        <f>SUM(F39/C5)</f>
        <v>286.67741935483872</v>
      </c>
      <c r="G42" s="37">
        <f>SUM(G39/C5)</f>
        <v>0</v>
      </c>
      <c r="H42" s="37">
        <f>SUM(H39/C5)</f>
        <v>27.612903225806452</v>
      </c>
      <c r="I42" s="37">
        <f>SUM(I39/C5)</f>
        <v>0</v>
      </c>
      <c r="J42" s="37">
        <f>SUM(J39/C5)</f>
        <v>18.741935483870968</v>
      </c>
      <c r="K42" s="37">
        <f>SUM(K39/C5)</f>
        <v>33.612903225806448</v>
      </c>
      <c r="L42" s="37">
        <f>SUM(L39/C5)</f>
        <v>0</v>
      </c>
      <c r="M42" s="37">
        <f>SUM(M39/C5)</f>
        <v>99.129032258064512</v>
      </c>
      <c r="N42" s="37">
        <f>SUM(N39/C5)</f>
        <v>123.09677419354838</v>
      </c>
      <c r="O42" s="37">
        <f>SUM(O39/C5)</f>
        <v>127.74193548387096</v>
      </c>
      <c r="P42" s="37">
        <f>SUM(P39/C5)</f>
        <v>185.48387096774192</v>
      </c>
      <c r="Q42" s="37">
        <f>Q39/C5</f>
        <v>1508.2903225806451</v>
      </c>
      <c r="R42" s="37">
        <v>1531.2333333333333</v>
      </c>
      <c r="S42" s="38">
        <v>1768</v>
      </c>
    </row>
    <row r="43" spans="1:19" s="21" customFormat="1" ht="25.5">
      <c r="A43" s="16"/>
      <c r="B43" s="17" t="s">
        <v>52</v>
      </c>
      <c r="C43" s="18"/>
      <c r="D43" s="37">
        <f t="shared" ref="D43:P43" si="19">SUM(D41:D42)</f>
        <v>223.48387096774195</v>
      </c>
      <c r="E43" s="37">
        <f t="shared" si="19"/>
        <v>651.70967741935488</v>
      </c>
      <c r="F43" s="37">
        <f t="shared" si="19"/>
        <v>682.67741935483878</v>
      </c>
      <c r="G43" s="37">
        <f t="shared" si="19"/>
        <v>410</v>
      </c>
      <c r="H43" s="37">
        <f t="shared" si="19"/>
        <v>193.61290322580646</v>
      </c>
      <c r="I43" s="37">
        <f>SUM(I41:I42)</f>
        <v>213</v>
      </c>
      <c r="J43" s="37">
        <f>SUM(J41:J42)</f>
        <v>186.74193548387098</v>
      </c>
      <c r="K43" s="37">
        <f t="shared" si="19"/>
        <v>201.61290322580646</v>
      </c>
      <c r="L43" s="37">
        <f t="shared" si="19"/>
        <v>128</v>
      </c>
      <c r="M43" s="37">
        <f>SUM(M41:M42)</f>
        <v>180.12903225806451</v>
      </c>
      <c r="N43" s="37">
        <f t="shared" si="19"/>
        <v>153.09677419354838</v>
      </c>
      <c r="O43" s="37">
        <f t="shared" si="19"/>
        <v>150.74193548387098</v>
      </c>
      <c r="P43" s="37">
        <f t="shared" si="19"/>
        <v>259.48387096774195</v>
      </c>
      <c r="Q43" s="37">
        <f>Q40/C5</f>
        <v>3634.1612903225805</v>
      </c>
      <c r="R43" s="37">
        <v>3776.7666666666669</v>
      </c>
      <c r="S43" s="38">
        <v>4172.322580645161</v>
      </c>
    </row>
    <row r="44" spans="1:19" s="21" customFormat="1">
      <c r="A44" s="16"/>
      <c r="B44" s="17" t="s">
        <v>53</v>
      </c>
      <c r="C44" s="18"/>
      <c r="D44" s="13">
        <v>9858</v>
      </c>
      <c r="E44" s="13">
        <v>17236</v>
      </c>
      <c r="F44" s="13">
        <v>15370</v>
      </c>
      <c r="G44" s="13">
        <v>13423</v>
      </c>
      <c r="H44" s="13">
        <v>5766</v>
      </c>
      <c r="I44" s="13">
        <v>6696</v>
      </c>
      <c r="J44" s="13">
        <v>2185</v>
      </c>
      <c r="K44" s="13">
        <v>4774</v>
      </c>
      <c r="L44" s="13">
        <v>3472</v>
      </c>
      <c r="M44" s="13">
        <v>9300</v>
      </c>
      <c r="N44" s="13">
        <v>1860</v>
      </c>
      <c r="O44" s="13">
        <v>1860</v>
      </c>
      <c r="P44" s="13">
        <v>3492</v>
      </c>
      <c r="Q44" s="76">
        <f>SUM(D44:P44)</f>
        <v>95292</v>
      </c>
      <c r="R44" s="37">
        <v>94224</v>
      </c>
      <c r="S44" s="117">
        <v>100314</v>
      </c>
    </row>
    <row r="45" spans="1:19" s="21" customFormat="1">
      <c r="A45" s="77"/>
      <c r="B45" s="78" t="s">
        <v>54</v>
      </c>
      <c r="C45" s="79"/>
      <c r="D45" s="80">
        <f t="shared" ref="D45:P45" si="20">ROUND((D44)/$C5,0)</f>
        <v>318</v>
      </c>
      <c r="E45" s="80">
        <f t="shared" si="20"/>
        <v>556</v>
      </c>
      <c r="F45" s="80">
        <f t="shared" si="20"/>
        <v>496</v>
      </c>
      <c r="G45" s="80">
        <f t="shared" si="20"/>
        <v>433</v>
      </c>
      <c r="H45" s="80">
        <f t="shared" si="20"/>
        <v>186</v>
      </c>
      <c r="I45" s="80">
        <f t="shared" si="20"/>
        <v>216</v>
      </c>
      <c r="J45" s="80">
        <f t="shared" si="20"/>
        <v>70</v>
      </c>
      <c r="K45" s="80">
        <f t="shared" si="20"/>
        <v>154</v>
      </c>
      <c r="L45" s="80">
        <f t="shared" si="20"/>
        <v>112</v>
      </c>
      <c r="M45" s="80">
        <f t="shared" si="20"/>
        <v>300</v>
      </c>
      <c r="N45" s="80">
        <f t="shared" si="20"/>
        <v>60</v>
      </c>
      <c r="O45" s="80">
        <f t="shared" si="20"/>
        <v>60</v>
      </c>
      <c r="P45" s="80">
        <f t="shared" si="20"/>
        <v>113</v>
      </c>
      <c r="Q45" s="59">
        <f>Q44/C5</f>
        <v>3073.9354838709678</v>
      </c>
      <c r="R45" s="59">
        <v>3140.8</v>
      </c>
      <c r="S45" s="60">
        <v>3235.9354838709678</v>
      </c>
    </row>
    <row r="46" spans="1:19" ht="25.5">
      <c r="A46" s="81">
        <v>9</v>
      </c>
      <c r="B46" s="82" t="s">
        <v>55</v>
      </c>
      <c r="C46" s="83"/>
      <c r="D46" s="13">
        <v>547420</v>
      </c>
      <c r="E46" s="13">
        <v>104348</v>
      </c>
      <c r="F46" s="13">
        <v>438837</v>
      </c>
      <c r="G46" s="13">
        <v>520727</v>
      </c>
      <c r="H46" s="13">
        <v>595677</v>
      </c>
      <c r="I46" s="13">
        <v>351666</v>
      </c>
      <c r="J46" s="13">
        <v>463294</v>
      </c>
      <c r="K46" s="13">
        <v>383701</v>
      </c>
      <c r="L46" s="13">
        <v>366165</v>
      </c>
      <c r="M46" s="13">
        <v>121231</v>
      </c>
      <c r="N46" s="13">
        <v>51646</v>
      </c>
      <c r="O46" s="13">
        <v>47653</v>
      </c>
      <c r="P46" s="13">
        <v>107772</v>
      </c>
      <c r="Q46" s="45">
        <f>SUM(D46:P46)</f>
        <v>4100137</v>
      </c>
      <c r="R46" s="169">
        <v>3969098</v>
      </c>
      <c r="S46" s="46">
        <v>4025683</v>
      </c>
    </row>
    <row r="47" spans="1:19">
      <c r="A47" s="16"/>
      <c r="B47" s="11" t="s">
        <v>56</v>
      </c>
      <c r="C47" s="18"/>
      <c r="D47" s="13">
        <v>74686</v>
      </c>
      <c r="E47" s="13">
        <v>589507</v>
      </c>
      <c r="F47" s="13">
        <v>124345</v>
      </c>
      <c r="G47" s="13">
        <v>0</v>
      </c>
      <c r="H47" s="13">
        <v>72704</v>
      </c>
      <c r="I47" s="13">
        <v>0</v>
      </c>
      <c r="J47" s="13">
        <v>14114</v>
      </c>
      <c r="K47" s="13">
        <v>73490</v>
      </c>
      <c r="L47" s="13">
        <v>0</v>
      </c>
      <c r="M47" s="13">
        <v>496597</v>
      </c>
      <c r="N47" s="13">
        <v>227517</v>
      </c>
      <c r="O47" s="13">
        <v>266147</v>
      </c>
      <c r="P47" s="13">
        <v>158852</v>
      </c>
      <c r="Q47" s="37">
        <f>SUM(D47:P47)</f>
        <v>2097959</v>
      </c>
      <c r="R47" s="37">
        <v>2031362</v>
      </c>
      <c r="S47" s="38">
        <v>2109109</v>
      </c>
    </row>
    <row r="48" spans="1:19" s="57" customFormat="1" ht="25.5">
      <c r="A48" s="54"/>
      <c r="B48" s="55" t="s">
        <v>57</v>
      </c>
      <c r="C48" s="56"/>
      <c r="D48" s="84">
        <f t="shared" ref="D48:P48" si="21">SUM(D46:D47)</f>
        <v>622106</v>
      </c>
      <c r="E48" s="84">
        <f t="shared" si="21"/>
        <v>693855</v>
      </c>
      <c r="F48" s="84">
        <f t="shared" si="21"/>
        <v>563182</v>
      </c>
      <c r="G48" s="84">
        <f t="shared" si="21"/>
        <v>520727</v>
      </c>
      <c r="H48" s="84">
        <f t="shared" si="21"/>
        <v>668381</v>
      </c>
      <c r="I48" s="84">
        <f>SUM(I46:I47)</f>
        <v>351666</v>
      </c>
      <c r="J48" s="84">
        <f>SUM(J46:J47)</f>
        <v>477408</v>
      </c>
      <c r="K48" s="84">
        <f t="shared" si="21"/>
        <v>457191</v>
      </c>
      <c r="L48" s="84">
        <f t="shared" si="21"/>
        <v>366165</v>
      </c>
      <c r="M48" s="84">
        <f>SUM(M46:M47)</f>
        <v>617828</v>
      </c>
      <c r="N48" s="84">
        <f t="shared" si="21"/>
        <v>279163</v>
      </c>
      <c r="O48" s="84">
        <f t="shared" si="21"/>
        <v>313800</v>
      </c>
      <c r="P48" s="84">
        <f t="shared" si="21"/>
        <v>266624</v>
      </c>
      <c r="Q48" s="85">
        <f>SUM(D48:P48)</f>
        <v>6198096</v>
      </c>
      <c r="R48" s="170">
        <v>6000460</v>
      </c>
      <c r="S48" s="172">
        <v>6134792</v>
      </c>
    </row>
    <row r="49" spans="1:19" ht="25.5">
      <c r="A49" s="28"/>
      <c r="B49" s="11" t="s">
        <v>58</v>
      </c>
      <c r="C49" s="29"/>
      <c r="D49" s="45">
        <f>SUM(D46/C5)</f>
        <v>17658.709677419356</v>
      </c>
      <c r="E49" s="45">
        <f>SUM(E46/C5)</f>
        <v>3366.0645161290322</v>
      </c>
      <c r="F49" s="45">
        <f>SUM(F46/C5)</f>
        <v>14156.032258064517</v>
      </c>
      <c r="G49" s="45">
        <f>SUM(G46/C5)</f>
        <v>16797.645161290322</v>
      </c>
      <c r="H49" s="45">
        <f>SUM(H46/C5)</f>
        <v>19215.387096774193</v>
      </c>
      <c r="I49" s="45">
        <f>SUM(I46/C5)</f>
        <v>11344.064516129032</v>
      </c>
      <c r="J49" s="45">
        <f>SUM(J46/C5)</f>
        <v>14944.967741935483</v>
      </c>
      <c r="K49" s="45">
        <f>SUM(K46/C5)</f>
        <v>12377.451612903225</v>
      </c>
      <c r="L49" s="45">
        <f>SUM(L46/C5)</f>
        <v>11811.774193548386</v>
      </c>
      <c r="M49" s="45">
        <f>SUM(M46/C5)</f>
        <v>3910.6774193548385</v>
      </c>
      <c r="N49" s="45">
        <f>SUM(N46/C5)</f>
        <v>1666</v>
      </c>
      <c r="O49" s="45">
        <f>SUM(O46/C5)</f>
        <v>1537.1935483870968</v>
      </c>
      <c r="P49" s="45">
        <f>SUM(P46/C5)</f>
        <v>3476.516129032258</v>
      </c>
      <c r="Q49" s="45">
        <f>Q46/C5</f>
        <v>132262.48387096773</v>
      </c>
      <c r="R49" s="37">
        <v>132303.26666666666</v>
      </c>
      <c r="S49" s="46">
        <v>129860.74193548386</v>
      </c>
    </row>
    <row r="50" spans="1:19" ht="25.5">
      <c r="A50" s="16"/>
      <c r="B50" s="11" t="s">
        <v>59</v>
      </c>
      <c r="C50" s="18"/>
      <c r="D50" s="37">
        <f>SUM(D47/C5)</f>
        <v>2409.2258064516127</v>
      </c>
      <c r="E50" s="37">
        <f>SUM(E47/C5)</f>
        <v>19016.354838709678</v>
      </c>
      <c r="F50" s="37">
        <f>SUM(F47/C5)</f>
        <v>4011.1290322580644</v>
      </c>
      <c r="G50" s="37">
        <f>SUM(G47/C5)</f>
        <v>0</v>
      </c>
      <c r="H50" s="37">
        <f>SUM(H47/C5)</f>
        <v>2345.2903225806454</v>
      </c>
      <c r="I50" s="37">
        <f>SUM(I47/C5)</f>
        <v>0</v>
      </c>
      <c r="J50" s="37">
        <f>SUM(J47/C5)</f>
        <v>455.29032258064518</v>
      </c>
      <c r="K50" s="37">
        <f>SUM(K47/C5)</f>
        <v>2370.6451612903224</v>
      </c>
      <c r="L50" s="37">
        <f>SUM(L47/H5)</f>
        <v>0</v>
      </c>
      <c r="M50" s="37">
        <f>SUM(M47/C5)</f>
        <v>16019.258064516129</v>
      </c>
      <c r="N50" s="37">
        <f>SUM(N47/C5)</f>
        <v>7339.2580645161288</v>
      </c>
      <c r="O50" s="37">
        <f>SUM(O47/C5)</f>
        <v>8585.3870967741932</v>
      </c>
      <c r="P50" s="37">
        <f>SUM(P47/C5)</f>
        <v>5124.2580645161288</v>
      </c>
      <c r="Q50" s="37">
        <f>Q47/C5</f>
        <v>67676.096774193546</v>
      </c>
      <c r="R50" s="36">
        <v>67712.066666666666</v>
      </c>
      <c r="S50" s="38">
        <v>68035.774193548394</v>
      </c>
    </row>
    <row r="51" spans="1:19">
      <c r="A51" s="39"/>
      <c r="B51" s="40" t="s">
        <v>60</v>
      </c>
      <c r="C51" s="41"/>
      <c r="D51" s="59">
        <f t="shared" ref="D51:P51" si="22">SUM(D49:D50)</f>
        <v>20067.93548387097</v>
      </c>
      <c r="E51" s="59">
        <f t="shared" si="22"/>
        <v>22382.419354838712</v>
      </c>
      <c r="F51" s="59">
        <f t="shared" si="22"/>
        <v>18167.161290322583</v>
      </c>
      <c r="G51" s="59">
        <f t="shared" si="22"/>
        <v>16797.645161290322</v>
      </c>
      <c r="H51" s="59">
        <f t="shared" si="22"/>
        <v>21560.677419354837</v>
      </c>
      <c r="I51" s="59">
        <f>SUM(I49:I50)</f>
        <v>11344.064516129032</v>
      </c>
      <c r="J51" s="59">
        <f>SUM(J49:J50)</f>
        <v>15400.258064516129</v>
      </c>
      <c r="K51" s="59">
        <f t="shared" si="22"/>
        <v>14748.096774193547</v>
      </c>
      <c r="L51" s="59">
        <f t="shared" si="22"/>
        <v>11811.774193548386</v>
      </c>
      <c r="M51" s="59">
        <f>SUM(M49:M50)</f>
        <v>19929.935483870966</v>
      </c>
      <c r="N51" s="59">
        <f t="shared" si="22"/>
        <v>9005.2580645161288</v>
      </c>
      <c r="O51" s="59">
        <f t="shared" si="22"/>
        <v>10122.58064516129</v>
      </c>
      <c r="P51" s="59">
        <f t="shared" si="22"/>
        <v>8600.7741935483864</v>
      </c>
      <c r="Q51" s="59">
        <f>Q48/C5</f>
        <v>199938.5806451613</v>
      </c>
      <c r="R51" s="59">
        <v>200015.33333333334</v>
      </c>
      <c r="S51" s="60">
        <v>197896.51612903227</v>
      </c>
    </row>
    <row r="52" spans="1:19" s="33" customFormat="1">
      <c r="A52" s="65">
        <v>10</v>
      </c>
      <c r="B52" s="66" t="s">
        <v>61</v>
      </c>
      <c r="C52" s="86"/>
      <c r="D52" s="45">
        <f t="shared" ref="D52:Q52" si="23">D27-D34</f>
        <v>308093.90000000014</v>
      </c>
      <c r="E52" s="45">
        <f t="shared" si="23"/>
        <v>367514.5</v>
      </c>
      <c r="F52" s="45">
        <f t="shared" si="23"/>
        <v>344008.1</v>
      </c>
      <c r="G52" s="45">
        <f t="shared" si="23"/>
        <v>383147.30000000005</v>
      </c>
      <c r="H52" s="45">
        <f t="shared" si="23"/>
        <v>243932.79999999993</v>
      </c>
      <c r="I52" s="45">
        <f t="shared" si="23"/>
        <v>140921.40000000002</v>
      </c>
      <c r="J52" s="45">
        <f t="shared" si="23"/>
        <v>207975.20000000007</v>
      </c>
      <c r="K52" s="45">
        <f t="shared" si="23"/>
        <v>402098.90000000014</v>
      </c>
      <c r="L52" s="45">
        <f t="shared" si="23"/>
        <v>73304</v>
      </c>
      <c r="M52" s="45">
        <f t="shared" si="23"/>
        <v>235263.95000000007</v>
      </c>
      <c r="N52" s="45">
        <f t="shared" si="23"/>
        <v>103909.79999999993</v>
      </c>
      <c r="O52" s="45">
        <f t="shared" si="23"/>
        <v>150571.40000000002</v>
      </c>
      <c r="P52" s="45">
        <f t="shared" si="23"/>
        <v>26160.299999999988</v>
      </c>
      <c r="Q52" s="45">
        <f t="shared" si="23"/>
        <v>2986901.5500000026</v>
      </c>
      <c r="R52" s="45">
        <v>3079126.5000000019</v>
      </c>
      <c r="S52" s="46">
        <v>3685931.8000000007</v>
      </c>
    </row>
    <row r="53" spans="1:19">
      <c r="A53" s="39"/>
      <c r="B53" s="40" t="s">
        <v>62</v>
      </c>
      <c r="C53" s="41"/>
      <c r="D53" s="59">
        <f>SUM(D52/C5)</f>
        <v>9938.5129032258101</v>
      </c>
      <c r="E53" s="59">
        <f>SUM(E52/C5)</f>
        <v>11855.306451612903</v>
      </c>
      <c r="F53" s="59">
        <f>SUM(F52/C5)</f>
        <v>11097.035483870966</v>
      </c>
      <c r="G53" s="59">
        <f>SUM(G52/C5)</f>
        <v>12359.590322580647</v>
      </c>
      <c r="H53" s="59">
        <f>SUM(H52/C5)</f>
        <v>7868.7999999999975</v>
      </c>
      <c r="I53" s="59">
        <f>SUM(I52/C5)</f>
        <v>4545.8516129032269</v>
      </c>
      <c r="J53" s="59">
        <f>SUM(J52/C5)</f>
        <v>6708.8774193548406</v>
      </c>
      <c r="K53" s="59">
        <f>SUM(K52/C5)</f>
        <v>12970.93225806452</v>
      </c>
      <c r="L53" s="59">
        <f>SUM(L52/C5)</f>
        <v>2364.6451612903224</v>
      </c>
      <c r="M53" s="59">
        <f>SUM(M52/C5)</f>
        <v>7589.1596774193567</v>
      </c>
      <c r="N53" s="59">
        <f>SUM(N52/C5)</f>
        <v>3351.9290322580623</v>
      </c>
      <c r="O53" s="59">
        <f>SUM(O52/C5)</f>
        <v>4857.1419354838717</v>
      </c>
      <c r="P53" s="59">
        <f>SUM(P52/C5)</f>
        <v>843.88064516128998</v>
      </c>
      <c r="Q53" s="59">
        <f>SUM(Q52/C5)</f>
        <v>96351.662903225893</v>
      </c>
      <c r="R53" s="59">
        <v>102637.55000000006</v>
      </c>
      <c r="S53" s="60">
        <v>118901.02580645164</v>
      </c>
    </row>
    <row r="54" spans="1:19" s="15" customFormat="1" ht="25.5">
      <c r="A54" s="10">
        <v>11</v>
      </c>
      <c r="B54" s="11" t="s">
        <v>63</v>
      </c>
      <c r="C54" s="35"/>
      <c r="D54" s="13">
        <v>28170211</v>
      </c>
      <c r="E54" s="13">
        <v>39426712</v>
      </c>
      <c r="F54" s="13">
        <v>27526020</v>
      </c>
      <c r="G54" s="13">
        <v>46003763</v>
      </c>
      <c r="H54" s="13">
        <v>29897795</v>
      </c>
      <c r="I54" s="13">
        <v>17321524</v>
      </c>
      <c r="J54" s="13">
        <v>25639533</v>
      </c>
      <c r="K54" s="13">
        <v>33050660</v>
      </c>
      <c r="L54" s="13">
        <v>26888790</v>
      </c>
      <c r="M54" s="13">
        <v>22257455</v>
      </c>
      <c r="N54" s="13">
        <v>18984955</v>
      </c>
      <c r="O54" s="13">
        <v>14611182</v>
      </c>
      <c r="P54" s="13">
        <v>8998573</v>
      </c>
      <c r="Q54" s="87">
        <f>SUM(D54:P54)</f>
        <v>338777173</v>
      </c>
      <c r="R54" s="45">
        <v>319106656</v>
      </c>
      <c r="S54" s="173">
        <v>337532693</v>
      </c>
    </row>
    <row r="55" spans="1:19" s="21" customFormat="1">
      <c r="A55" s="16"/>
      <c r="B55" s="17" t="s">
        <v>64</v>
      </c>
      <c r="C55" s="18"/>
      <c r="D55" s="44">
        <f t="shared" ref="D55:P55" si="24">ROUND((D54)/$C5,0)</f>
        <v>908716</v>
      </c>
      <c r="E55" s="44">
        <f t="shared" si="24"/>
        <v>1271829</v>
      </c>
      <c r="F55" s="44">
        <f t="shared" si="24"/>
        <v>887936</v>
      </c>
      <c r="G55" s="44">
        <f t="shared" si="24"/>
        <v>1483992</v>
      </c>
      <c r="H55" s="44">
        <f t="shared" si="24"/>
        <v>964445</v>
      </c>
      <c r="I55" s="44">
        <f t="shared" si="24"/>
        <v>558759</v>
      </c>
      <c r="J55" s="44">
        <f t="shared" si="24"/>
        <v>827082</v>
      </c>
      <c r="K55" s="44">
        <f t="shared" si="24"/>
        <v>1066150</v>
      </c>
      <c r="L55" s="44">
        <f t="shared" si="24"/>
        <v>867380</v>
      </c>
      <c r="M55" s="44">
        <f t="shared" si="24"/>
        <v>717982</v>
      </c>
      <c r="N55" s="44">
        <f t="shared" si="24"/>
        <v>612418</v>
      </c>
      <c r="O55" s="44">
        <f t="shared" si="24"/>
        <v>471328</v>
      </c>
      <c r="P55" s="44">
        <f t="shared" si="24"/>
        <v>290277</v>
      </c>
      <c r="Q55" s="45">
        <f>SUM(D55:P55)</f>
        <v>10928294</v>
      </c>
      <c r="R55" s="37">
        <v>10636889</v>
      </c>
      <c r="S55" s="46">
        <v>10888150</v>
      </c>
    </row>
    <row r="56" spans="1:19" s="15" customFormat="1">
      <c r="A56" s="88"/>
      <c r="B56" s="50" t="s">
        <v>65</v>
      </c>
      <c r="C56" s="89"/>
      <c r="D56" s="90">
        <f>SUM(D55/D65)</f>
        <v>14.212706787895117</v>
      </c>
      <c r="E56" s="90">
        <f t="shared" ref="E56:Q56" si="25">SUM(E55/E65)</f>
        <v>15.418779870765494</v>
      </c>
      <c r="F56" s="90">
        <f t="shared" si="25"/>
        <v>13.217692278511587</v>
      </c>
      <c r="G56" s="90">
        <f t="shared" si="25"/>
        <v>13.38812471243344</v>
      </c>
      <c r="H56" s="90">
        <f t="shared" si="25"/>
        <v>14.508161321300863</v>
      </c>
      <c r="I56" s="90">
        <f>SUM(I55/I65)</f>
        <v>12.832530259724672</v>
      </c>
      <c r="J56" s="90">
        <f>SUM(J55/J65)</f>
        <v>13.818689518573912</v>
      </c>
      <c r="K56" s="90">
        <f t="shared" si="25"/>
        <v>15.495937612378501</v>
      </c>
      <c r="L56" s="90">
        <f t="shared" si="25"/>
        <v>16.798295729640749</v>
      </c>
      <c r="M56" s="90">
        <f>SUM(M55/M65)</f>
        <v>15.028119857965919</v>
      </c>
      <c r="N56" s="90">
        <f t="shared" si="25"/>
        <v>13.739374667098955</v>
      </c>
      <c r="O56" s="90">
        <f t="shared" si="25"/>
        <v>14.608085693918584</v>
      </c>
      <c r="P56" s="90">
        <f t="shared" si="25"/>
        <v>13.791656576741165</v>
      </c>
      <c r="Q56" s="90">
        <f t="shared" si="25"/>
        <v>14.371504302664302</v>
      </c>
      <c r="R56" s="183">
        <v>14.108055097811075</v>
      </c>
      <c r="S56" s="91">
        <v>14.549812013059512</v>
      </c>
    </row>
    <row r="57" spans="1:19" s="21" customFormat="1" ht="25.5">
      <c r="A57" s="77"/>
      <c r="B57" s="78" t="s">
        <v>66</v>
      </c>
      <c r="C57" s="79"/>
      <c r="D57" s="92">
        <f t="shared" ref="D57:Q57" si="26">SUM(D55/D17)</f>
        <v>7572.6333333333332</v>
      </c>
      <c r="E57" s="92">
        <f t="shared" si="26"/>
        <v>7708.0545454545454</v>
      </c>
      <c r="F57" s="92">
        <f t="shared" si="26"/>
        <v>7788.9122807017548</v>
      </c>
      <c r="G57" s="92">
        <f t="shared" si="26"/>
        <v>9104.2453987730059</v>
      </c>
      <c r="H57" s="92">
        <f t="shared" si="26"/>
        <v>9013.5046728971956</v>
      </c>
      <c r="I57" s="92">
        <f t="shared" si="26"/>
        <v>8596.2923076923071</v>
      </c>
      <c r="J57" s="92">
        <f t="shared" si="26"/>
        <v>8526.6185567010307</v>
      </c>
      <c r="K57" s="92">
        <f t="shared" si="26"/>
        <v>7782.1167883211683</v>
      </c>
      <c r="L57" s="92">
        <f t="shared" si="26"/>
        <v>9637.5555555555547</v>
      </c>
      <c r="M57" s="92">
        <f t="shared" si="26"/>
        <v>7326.3469387755104</v>
      </c>
      <c r="N57" s="92">
        <f t="shared" si="26"/>
        <v>8275.9189189189183</v>
      </c>
      <c r="O57" s="92">
        <f t="shared" si="26"/>
        <v>8892.9811320754725</v>
      </c>
      <c r="P57" s="92">
        <f t="shared" si="26"/>
        <v>7443</v>
      </c>
      <c r="Q57" s="92">
        <f t="shared" si="26"/>
        <v>8266.4856278366115</v>
      </c>
      <c r="R57" s="59">
        <v>7850.1025830258304</v>
      </c>
      <c r="S57" s="93">
        <v>8162.0314842578709</v>
      </c>
    </row>
    <row r="58" spans="1:19" s="21" customFormat="1">
      <c r="A58" s="81">
        <v>12</v>
      </c>
      <c r="B58" s="82" t="s">
        <v>67</v>
      </c>
      <c r="C58" s="83"/>
      <c r="D58" s="94">
        <f t="shared" ref="D58:Q58" si="27">SUM(D54)/D34</f>
        <v>36.868674164244325</v>
      </c>
      <c r="E58" s="94">
        <f t="shared" si="27"/>
        <v>35.530731734572399</v>
      </c>
      <c r="F58" s="94">
        <f t="shared" si="27"/>
        <v>43.390018064711391</v>
      </c>
      <c r="G58" s="94">
        <f t="shared" si="27"/>
        <v>46.88950576387969</v>
      </c>
      <c r="H58" s="94">
        <f t="shared" si="27"/>
        <v>38.779453156413346</v>
      </c>
      <c r="I58" s="94">
        <f t="shared" si="27"/>
        <v>41.122859164225311</v>
      </c>
      <c r="J58" s="94">
        <f t="shared" si="27"/>
        <v>43.040582099223442</v>
      </c>
      <c r="K58" s="94">
        <f t="shared" si="27"/>
        <v>31.855842900337059</v>
      </c>
      <c r="L58" s="94">
        <f t="shared" si="27"/>
        <v>35.113264635864674</v>
      </c>
      <c r="M58" s="94">
        <f t="shared" si="27"/>
        <v>30.474260271177993</v>
      </c>
      <c r="N58" s="94">
        <f t="shared" si="27"/>
        <v>39.040156860164551</v>
      </c>
      <c r="O58" s="94">
        <f t="shared" si="27"/>
        <v>40.166872845431904</v>
      </c>
      <c r="P58" s="94">
        <f t="shared" si="27"/>
        <v>35.277315833009908</v>
      </c>
      <c r="Q58" s="94">
        <f t="shared" si="27"/>
        <v>37.997007029359153</v>
      </c>
      <c r="R58" s="100">
        <v>37.117255162372103</v>
      </c>
      <c r="S58" s="95">
        <v>38.76976921701668</v>
      </c>
    </row>
    <row r="59" spans="1:19" s="15" customFormat="1">
      <c r="A59" s="88">
        <v>13</v>
      </c>
      <c r="B59" s="17" t="s">
        <v>68</v>
      </c>
      <c r="C59" s="8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2"/>
      <c r="S59" s="96"/>
    </row>
    <row r="60" spans="1:19" s="21" customFormat="1">
      <c r="A60" s="16"/>
      <c r="B60" s="17" t="s">
        <v>69</v>
      </c>
      <c r="C60" s="18"/>
      <c r="D60" s="97">
        <f>SUM(D58)/69.87*100</f>
        <v>52.767531364311324</v>
      </c>
      <c r="E60" s="97">
        <f t="shared" ref="E60:P60" si="28">SUM(E58)/69.87*100</f>
        <v>50.852628788567912</v>
      </c>
      <c r="F60" s="97">
        <f t="shared" si="28"/>
        <v>62.101070652227556</v>
      </c>
      <c r="G60" s="97">
        <f t="shared" si="28"/>
        <v>67.109640423471717</v>
      </c>
      <c r="H60" s="97">
        <f t="shared" si="28"/>
        <v>55.502294484633389</v>
      </c>
      <c r="I60" s="97">
        <f t="shared" si="28"/>
        <v>58.856246120259492</v>
      </c>
      <c r="J60" s="97">
        <f t="shared" si="28"/>
        <v>61.600947615891563</v>
      </c>
      <c r="K60" s="97">
        <f t="shared" si="28"/>
        <v>45.593019751448487</v>
      </c>
      <c r="L60" s="97">
        <f t="shared" si="28"/>
        <v>50.25513759247842</v>
      </c>
      <c r="M60" s="97">
        <f t="shared" si="28"/>
        <v>43.6156580380392</v>
      </c>
      <c r="N60" s="97">
        <f t="shared" si="28"/>
        <v>55.87542129692936</v>
      </c>
      <c r="O60" s="97">
        <f t="shared" si="28"/>
        <v>57.48801036987534</v>
      </c>
      <c r="P60" s="97">
        <f t="shared" si="28"/>
        <v>50.489932493215839</v>
      </c>
      <c r="Q60" s="97">
        <f>SUM(Q58)/69.87*100</f>
        <v>54.382434563273442</v>
      </c>
      <c r="R60" s="97">
        <v>53.153737881099957</v>
      </c>
      <c r="S60" s="98">
        <v>54.690039803945098</v>
      </c>
    </row>
    <row r="61" spans="1:19" s="27" customFormat="1" ht="60">
      <c r="A61" s="65"/>
      <c r="B61" s="99" t="s">
        <v>70</v>
      </c>
      <c r="C61" s="67"/>
      <c r="D61" s="100">
        <f>D129/69.87*100</f>
        <v>62.0884607903863</v>
      </c>
      <c r="E61" s="100">
        <f t="shared" ref="E61:P61" si="29">E129/69.87*100</f>
        <v>62.202041511179075</v>
      </c>
      <c r="F61" s="100">
        <f t="shared" si="29"/>
        <v>71.190266820678062</v>
      </c>
      <c r="G61" s="100">
        <f t="shared" si="29"/>
        <v>76.039801237630357</v>
      </c>
      <c r="H61" s="100">
        <f t="shared" si="29"/>
        <v>66.03169222107384</v>
      </c>
      <c r="I61" s="100">
        <f t="shared" si="29"/>
        <v>67.904872481962329</v>
      </c>
      <c r="J61" s="100">
        <f t="shared" si="29"/>
        <v>70.361034237998638</v>
      </c>
      <c r="K61" s="100">
        <f t="shared" si="29"/>
        <v>54.740182321009016</v>
      </c>
      <c r="L61" s="100">
        <f t="shared" si="29"/>
        <v>62.524323036629248</v>
      </c>
      <c r="M61" s="100">
        <f t="shared" si="29"/>
        <v>53.281283882500418</v>
      </c>
      <c r="N61" s="100">
        <f t="shared" si="29"/>
        <v>65.44176882566093</v>
      </c>
      <c r="O61" s="100">
        <f t="shared" si="29"/>
        <v>66.341291805979523</v>
      </c>
      <c r="P61" s="100">
        <f t="shared" si="29"/>
        <v>59.233322382571551</v>
      </c>
      <c r="Q61" s="100">
        <f>Q129/69.87*100</f>
        <v>64.18951730784589</v>
      </c>
      <c r="R61" s="90">
        <v>64.784821903018738</v>
      </c>
      <c r="S61" s="174">
        <v>65.979971450003418</v>
      </c>
    </row>
    <row r="62" spans="1:19" s="21" customFormat="1" ht="25.5">
      <c r="A62" s="16">
        <v>14</v>
      </c>
      <c r="B62" s="17" t="s">
        <v>71</v>
      </c>
      <c r="C62" s="89"/>
      <c r="D62" s="63" t="s">
        <v>72</v>
      </c>
      <c r="E62" s="63" t="s">
        <v>72</v>
      </c>
      <c r="F62" s="63" t="s">
        <v>72</v>
      </c>
      <c r="G62" s="63" t="s">
        <v>72</v>
      </c>
      <c r="H62" s="63" t="s">
        <v>72</v>
      </c>
      <c r="I62" s="63" t="s">
        <v>72</v>
      </c>
      <c r="J62" s="63" t="s">
        <v>72</v>
      </c>
      <c r="K62" s="63" t="s">
        <v>72</v>
      </c>
      <c r="L62" s="63" t="s">
        <v>72</v>
      </c>
      <c r="M62" s="63" t="s">
        <v>72</v>
      </c>
      <c r="N62" s="63" t="s">
        <v>72</v>
      </c>
      <c r="O62" s="63" t="s">
        <v>72</v>
      </c>
      <c r="P62" s="63" t="s">
        <v>72</v>
      </c>
      <c r="Q62" s="63">
        <v>76.98</v>
      </c>
      <c r="R62" s="97">
        <v>76.98</v>
      </c>
      <c r="S62" s="20">
        <v>85.19</v>
      </c>
    </row>
    <row r="63" spans="1:19" s="15" customFormat="1" ht="25.5">
      <c r="A63" s="88">
        <v>15</v>
      </c>
      <c r="B63" s="17" t="s">
        <v>73</v>
      </c>
      <c r="C63" s="89"/>
      <c r="D63" s="90">
        <f t="shared" ref="D63:Q63" si="30">D15/D8*100</f>
        <v>71.641791044776113</v>
      </c>
      <c r="E63" s="90">
        <f t="shared" si="30"/>
        <v>66.455696202531641</v>
      </c>
      <c r="F63" s="90">
        <f t="shared" si="30"/>
        <v>57.926829268292678</v>
      </c>
      <c r="G63" s="90">
        <f t="shared" si="30"/>
        <v>69.354838709677423</v>
      </c>
      <c r="H63" s="90">
        <f t="shared" si="30"/>
        <v>69.841269841269835</v>
      </c>
      <c r="I63" s="90">
        <f t="shared" si="30"/>
        <v>68.421052631578945</v>
      </c>
      <c r="J63" s="90">
        <f t="shared" si="30"/>
        <v>67.256637168141594</v>
      </c>
      <c r="K63" s="90">
        <f t="shared" si="30"/>
        <v>63.44086021505376</v>
      </c>
      <c r="L63" s="90">
        <f t="shared" si="30"/>
        <v>75.471698113207552</v>
      </c>
      <c r="M63" s="90">
        <f t="shared" si="30"/>
        <v>59.259259259259252</v>
      </c>
      <c r="N63" s="90">
        <f t="shared" si="30"/>
        <v>62.68656716417911</v>
      </c>
      <c r="O63" s="90">
        <f t="shared" si="30"/>
        <v>69.841269841269835</v>
      </c>
      <c r="P63" s="90">
        <f t="shared" si="30"/>
        <v>66.101694915254242</v>
      </c>
      <c r="Q63" s="90">
        <f t="shared" si="30"/>
        <v>66.080586080586073</v>
      </c>
      <c r="R63" s="100">
        <v>68.264342774146698</v>
      </c>
      <c r="S63" s="91">
        <v>64.380685794261723</v>
      </c>
    </row>
    <row r="64" spans="1:19" s="15" customFormat="1" ht="25.5">
      <c r="A64" s="88">
        <v>16</v>
      </c>
      <c r="B64" s="17" t="s">
        <v>74</v>
      </c>
      <c r="C64" s="89"/>
      <c r="D64" s="90">
        <f t="shared" ref="D64:Q64" si="31">SUM(D51/D15)</f>
        <v>209.04099462365593</v>
      </c>
      <c r="E64" s="90">
        <f t="shared" si="31"/>
        <v>213.16589861751154</v>
      </c>
      <c r="F64" s="90">
        <f t="shared" si="31"/>
        <v>191.23327674023773</v>
      </c>
      <c r="G64" s="90">
        <f t="shared" si="31"/>
        <v>195.32145536384095</v>
      </c>
      <c r="H64" s="90">
        <f t="shared" si="31"/>
        <v>245.00769794721407</v>
      </c>
      <c r="I64" s="90">
        <f t="shared" si="31"/>
        <v>218.15508684863522</v>
      </c>
      <c r="J64" s="90">
        <f t="shared" si="31"/>
        <v>202.63497453310697</v>
      </c>
      <c r="K64" s="90">
        <f t="shared" si="31"/>
        <v>249.96774193548384</v>
      </c>
      <c r="L64" s="90">
        <f t="shared" si="31"/>
        <v>295.29435483870964</v>
      </c>
      <c r="M64" s="90">
        <f t="shared" si="31"/>
        <v>249.12419354838707</v>
      </c>
      <c r="N64" s="90">
        <f t="shared" si="31"/>
        <v>214.41090629800306</v>
      </c>
      <c r="O64" s="90">
        <f t="shared" si="31"/>
        <v>230.05865102639294</v>
      </c>
      <c r="P64" s="90">
        <f t="shared" si="31"/>
        <v>220.53267162944582</v>
      </c>
      <c r="Q64" s="90">
        <f t="shared" si="31"/>
        <v>221.66139761104358</v>
      </c>
      <c r="R64" s="97">
        <v>212.7822695035461</v>
      </c>
      <c r="S64" s="91">
        <v>215.10490883590464</v>
      </c>
    </row>
    <row r="65" spans="1:19" s="21" customFormat="1" ht="25.5">
      <c r="A65" s="28">
        <v>17</v>
      </c>
      <c r="B65" s="11" t="s">
        <v>75</v>
      </c>
      <c r="C65" s="35"/>
      <c r="D65" s="36">
        <v>63936.870967741932</v>
      </c>
      <c r="E65" s="36">
        <v>82485.709677419349</v>
      </c>
      <c r="F65" s="36">
        <v>67177.838709677424</v>
      </c>
      <c r="G65" s="36">
        <v>110843.90322580645</v>
      </c>
      <c r="H65" s="36">
        <v>66476.032258064515</v>
      </c>
      <c r="I65" s="36">
        <v>43542.387096774197</v>
      </c>
      <c r="J65" s="36">
        <v>59852.419354838712</v>
      </c>
      <c r="K65" s="36">
        <v>68801.903225806454</v>
      </c>
      <c r="L65" s="36">
        <v>51635</v>
      </c>
      <c r="M65" s="36">
        <v>47775.903225806454</v>
      </c>
      <c r="N65" s="36">
        <v>44573.93548387097</v>
      </c>
      <c r="O65" s="36">
        <v>32264.870967741936</v>
      </c>
      <c r="P65" s="36">
        <v>21047.290322580644</v>
      </c>
      <c r="Q65" s="45">
        <f>SUM(D65:P65)</f>
        <v>760414.06451612909</v>
      </c>
      <c r="R65" s="128">
        <v>753958.56666666677</v>
      </c>
      <c r="S65" s="46">
        <v>748336.12903225794</v>
      </c>
    </row>
    <row r="66" spans="1:19" s="15" customFormat="1" ht="15" thickBot="1">
      <c r="A66" s="101"/>
      <c r="B66" s="71" t="s">
        <v>76</v>
      </c>
      <c r="C66" s="102"/>
      <c r="D66" s="103">
        <f t="shared" ref="D66:Q66" si="32">SUM(D65/D17)</f>
        <v>532.80725806451608</v>
      </c>
      <c r="E66" s="103">
        <f t="shared" si="32"/>
        <v>499.91339198435969</v>
      </c>
      <c r="F66" s="103">
        <f t="shared" si="32"/>
        <v>589.27928692699493</v>
      </c>
      <c r="G66" s="103">
        <f t="shared" si="32"/>
        <v>680.02394617059178</v>
      </c>
      <c r="H66" s="103">
        <f t="shared" si="32"/>
        <v>621.27132951462158</v>
      </c>
      <c r="I66" s="103">
        <f t="shared" si="32"/>
        <v>669.88287841191072</v>
      </c>
      <c r="J66" s="103">
        <f t="shared" si="32"/>
        <v>617.03525108081146</v>
      </c>
      <c r="K66" s="103">
        <f t="shared" si="32"/>
        <v>502.20367318106901</v>
      </c>
      <c r="L66" s="103">
        <f t="shared" si="32"/>
        <v>573.72222222222217</v>
      </c>
      <c r="M66" s="103">
        <f t="shared" si="32"/>
        <v>487.50921658986181</v>
      </c>
      <c r="N66" s="103">
        <f t="shared" si="32"/>
        <v>602.35047951176989</v>
      </c>
      <c r="O66" s="103">
        <f t="shared" si="32"/>
        <v>608.77115033475354</v>
      </c>
      <c r="P66" s="103">
        <f t="shared" si="32"/>
        <v>539.67411083540117</v>
      </c>
      <c r="Q66" s="103">
        <f t="shared" si="32"/>
        <v>575.19974623005226</v>
      </c>
      <c r="R66" s="184">
        <v>556.4269864698648</v>
      </c>
      <c r="S66" s="104">
        <v>560.97161096870911</v>
      </c>
    </row>
    <row r="67" spans="1:19" s="21" customFormat="1" ht="26.25" thickTop="1">
      <c r="A67" s="28">
        <v>18</v>
      </c>
      <c r="B67" s="11" t="s">
        <v>77</v>
      </c>
      <c r="C67" s="35"/>
      <c r="D67" s="44" t="s">
        <v>72</v>
      </c>
      <c r="E67" s="44" t="s">
        <v>72</v>
      </c>
      <c r="F67" s="44" t="s">
        <v>72</v>
      </c>
      <c r="G67" s="44" t="s">
        <v>72</v>
      </c>
      <c r="H67" s="44" t="s">
        <v>72</v>
      </c>
      <c r="I67" s="44" t="s">
        <v>72</v>
      </c>
      <c r="J67" s="44" t="s">
        <v>72</v>
      </c>
      <c r="K67" s="44" t="s">
        <v>72</v>
      </c>
      <c r="L67" s="44" t="s">
        <v>72</v>
      </c>
      <c r="M67" s="44" t="s">
        <v>72</v>
      </c>
      <c r="N67" s="44" t="s">
        <v>72</v>
      </c>
      <c r="O67" s="44" t="s">
        <v>72</v>
      </c>
      <c r="P67" s="44" t="s">
        <v>72</v>
      </c>
      <c r="Q67" s="44">
        <v>534400</v>
      </c>
      <c r="R67" s="45">
        <v>537600</v>
      </c>
      <c r="S67" s="14">
        <v>470800</v>
      </c>
    </row>
    <row r="68" spans="1:19" s="15" customFormat="1" ht="25.5">
      <c r="A68" s="10">
        <v>19</v>
      </c>
      <c r="B68" s="11" t="s">
        <v>78</v>
      </c>
      <c r="C68" s="35"/>
      <c r="D68" s="13" t="s">
        <v>72</v>
      </c>
      <c r="E68" s="13" t="s">
        <v>72</v>
      </c>
      <c r="F68" s="13" t="s">
        <v>72</v>
      </c>
      <c r="G68" s="13" t="s">
        <v>72</v>
      </c>
      <c r="H68" s="13" t="s">
        <v>72</v>
      </c>
      <c r="I68" s="13" t="s">
        <v>72</v>
      </c>
      <c r="J68" s="13" t="s">
        <v>72</v>
      </c>
      <c r="K68" s="13" t="s">
        <v>72</v>
      </c>
      <c r="L68" s="13" t="s">
        <v>72</v>
      </c>
      <c r="M68" s="13" t="s">
        <v>72</v>
      </c>
      <c r="N68" s="13" t="s">
        <v>72</v>
      </c>
      <c r="O68" s="13" t="s">
        <v>72</v>
      </c>
      <c r="P68" s="13" t="s">
        <v>72</v>
      </c>
      <c r="Q68" s="13">
        <v>5</v>
      </c>
      <c r="R68" s="37">
        <v>2</v>
      </c>
      <c r="S68" s="58">
        <v>1</v>
      </c>
    </row>
    <row r="69" spans="1:19" s="15" customFormat="1" ht="18.75" customHeight="1">
      <c r="A69" s="51"/>
      <c r="B69" s="40" t="s">
        <v>79</v>
      </c>
      <c r="C69" s="53"/>
      <c r="D69" s="105" t="s">
        <v>72</v>
      </c>
      <c r="E69" s="105" t="s">
        <v>72</v>
      </c>
      <c r="F69" s="105" t="s">
        <v>72</v>
      </c>
      <c r="G69" s="105" t="s">
        <v>72</v>
      </c>
      <c r="H69" s="105" t="s">
        <v>72</v>
      </c>
      <c r="I69" s="105" t="s">
        <v>72</v>
      </c>
      <c r="J69" s="105" t="s">
        <v>72</v>
      </c>
      <c r="K69" s="105" t="s">
        <v>72</v>
      </c>
      <c r="L69" s="105" t="s">
        <v>72</v>
      </c>
      <c r="M69" s="105" t="s">
        <v>72</v>
      </c>
      <c r="N69" s="105" t="s">
        <v>72</v>
      </c>
      <c r="O69" s="105" t="s">
        <v>72</v>
      </c>
      <c r="P69" s="105" t="s">
        <v>72</v>
      </c>
      <c r="Q69" s="105">
        <v>5</v>
      </c>
      <c r="R69" s="80">
        <v>1387</v>
      </c>
      <c r="S69" s="106">
        <v>1</v>
      </c>
    </row>
    <row r="70" spans="1:19" s="15" customFormat="1" ht="25.5">
      <c r="A70" s="10">
        <v>20</v>
      </c>
      <c r="B70" s="11" t="s">
        <v>80</v>
      </c>
      <c r="C70" s="35"/>
      <c r="D70" s="13" t="s">
        <v>72</v>
      </c>
      <c r="E70" s="13" t="s">
        <v>72</v>
      </c>
      <c r="F70" s="13" t="s">
        <v>72</v>
      </c>
      <c r="G70" s="13" t="s">
        <v>72</v>
      </c>
      <c r="H70" s="13" t="s">
        <v>72</v>
      </c>
      <c r="I70" s="13" t="s">
        <v>72</v>
      </c>
      <c r="J70" s="13" t="s">
        <v>72</v>
      </c>
      <c r="K70" s="13" t="s">
        <v>72</v>
      </c>
      <c r="L70" s="13" t="s">
        <v>72</v>
      </c>
      <c r="M70" s="13" t="s">
        <v>72</v>
      </c>
      <c r="N70" s="13" t="s">
        <v>72</v>
      </c>
      <c r="O70" s="13" t="s">
        <v>72</v>
      </c>
      <c r="P70" s="13" t="s">
        <v>72</v>
      </c>
      <c r="Q70" s="13">
        <v>3136</v>
      </c>
      <c r="R70" s="13">
        <v>9182</v>
      </c>
      <c r="S70" s="58">
        <v>3373</v>
      </c>
    </row>
    <row r="71" spans="1:19" s="21" customFormat="1" ht="25.5">
      <c r="A71" s="16"/>
      <c r="B71" s="17" t="s">
        <v>81</v>
      </c>
      <c r="C71" s="89"/>
      <c r="D71" s="63" t="s">
        <v>72</v>
      </c>
      <c r="E71" s="63" t="s">
        <v>72</v>
      </c>
      <c r="F71" s="63" t="s">
        <v>72</v>
      </c>
      <c r="G71" s="63" t="s">
        <v>72</v>
      </c>
      <c r="H71" s="63" t="s">
        <v>72</v>
      </c>
      <c r="I71" s="63" t="s">
        <v>72</v>
      </c>
      <c r="J71" s="63" t="s">
        <v>72</v>
      </c>
      <c r="K71" s="63" t="s">
        <v>72</v>
      </c>
      <c r="L71" s="63" t="s">
        <v>72</v>
      </c>
      <c r="M71" s="63" t="s">
        <v>72</v>
      </c>
      <c r="N71" s="63" t="s">
        <v>72</v>
      </c>
      <c r="O71" s="63" t="s">
        <v>72</v>
      </c>
      <c r="P71" s="63" t="s">
        <v>72</v>
      </c>
      <c r="Q71" s="63">
        <v>2297550</v>
      </c>
      <c r="R71" s="19">
        <v>6634500</v>
      </c>
      <c r="S71" s="20">
        <v>2527500</v>
      </c>
    </row>
    <row r="72" spans="1:19" s="21" customFormat="1" ht="25.5">
      <c r="A72" s="39"/>
      <c r="B72" s="40" t="s">
        <v>82</v>
      </c>
      <c r="C72" s="53"/>
      <c r="D72" s="80" t="s">
        <v>72</v>
      </c>
      <c r="E72" s="80" t="s">
        <v>72</v>
      </c>
      <c r="F72" s="80" t="s">
        <v>72</v>
      </c>
      <c r="G72" s="80" t="s">
        <v>72</v>
      </c>
      <c r="H72" s="80" t="s">
        <v>72</v>
      </c>
      <c r="I72" s="80" t="s">
        <v>72</v>
      </c>
      <c r="J72" s="80" t="s">
        <v>72</v>
      </c>
      <c r="K72" s="80" t="s">
        <v>72</v>
      </c>
      <c r="L72" s="80" t="s">
        <v>72</v>
      </c>
      <c r="M72" s="80" t="s">
        <v>72</v>
      </c>
      <c r="N72" s="80" t="s">
        <v>72</v>
      </c>
      <c r="O72" s="80" t="s">
        <v>72</v>
      </c>
      <c r="P72" s="80" t="s">
        <v>72</v>
      </c>
      <c r="Q72" s="107">
        <f>SUM(Q71/Q34)</f>
        <v>0.25769157563725265</v>
      </c>
      <c r="R72" s="42">
        <v>0.77169944513710709</v>
      </c>
      <c r="S72" s="108">
        <v>0.29031437169853547</v>
      </c>
    </row>
    <row r="73" spans="1:19" s="21" customFormat="1" ht="18.75" customHeight="1">
      <c r="A73" s="28">
        <v>21</v>
      </c>
      <c r="B73" s="11" t="s">
        <v>83</v>
      </c>
      <c r="C73" s="35"/>
      <c r="D73" s="44" t="s">
        <v>72</v>
      </c>
      <c r="E73" s="44" t="s">
        <v>72</v>
      </c>
      <c r="F73" s="44" t="s">
        <v>72</v>
      </c>
      <c r="G73" s="44" t="s">
        <v>72</v>
      </c>
      <c r="H73" s="44" t="s">
        <v>72</v>
      </c>
      <c r="I73" s="44" t="s">
        <v>72</v>
      </c>
      <c r="J73" s="44" t="s">
        <v>72</v>
      </c>
      <c r="K73" s="44" t="s">
        <v>72</v>
      </c>
      <c r="L73" s="44" t="s">
        <v>72</v>
      </c>
      <c r="M73" s="44" t="s">
        <v>72</v>
      </c>
      <c r="N73" s="44" t="s">
        <v>72</v>
      </c>
      <c r="O73" s="44" t="s">
        <v>72</v>
      </c>
      <c r="P73" s="44" t="s">
        <v>72</v>
      </c>
      <c r="Q73" s="44">
        <f>SUM(C74:C80)</f>
        <v>518395</v>
      </c>
      <c r="R73" s="44">
        <v>472385</v>
      </c>
      <c r="S73" s="14">
        <v>514516</v>
      </c>
    </row>
    <row r="74" spans="1:19" ht="30.75" customHeight="1">
      <c r="A74" s="16"/>
      <c r="B74" s="17" t="s">
        <v>84</v>
      </c>
      <c r="C74" s="89">
        <v>125340</v>
      </c>
      <c r="D74" s="63" t="s">
        <v>72</v>
      </c>
      <c r="E74" s="63" t="s">
        <v>72</v>
      </c>
      <c r="F74" s="63" t="s">
        <v>72</v>
      </c>
      <c r="G74" s="63" t="s">
        <v>72</v>
      </c>
      <c r="H74" s="63" t="s">
        <v>72</v>
      </c>
      <c r="I74" s="63" t="s">
        <v>72</v>
      </c>
      <c r="J74" s="63" t="s">
        <v>72</v>
      </c>
      <c r="K74" s="63" t="s">
        <v>72</v>
      </c>
      <c r="L74" s="63" t="s">
        <v>72</v>
      </c>
      <c r="M74" s="63" t="s">
        <v>72</v>
      </c>
      <c r="N74" s="63" t="s">
        <v>72</v>
      </c>
      <c r="O74" s="63" t="s">
        <v>72</v>
      </c>
      <c r="P74" s="63" t="s">
        <v>72</v>
      </c>
      <c r="Q74" s="63" t="s">
        <v>72</v>
      </c>
      <c r="R74" s="97" t="s">
        <v>72</v>
      </c>
      <c r="S74" s="98" t="s">
        <v>72</v>
      </c>
    </row>
    <row r="75" spans="1:19" ht="21" customHeight="1">
      <c r="A75" s="16"/>
      <c r="B75" s="17" t="s">
        <v>85</v>
      </c>
      <c r="C75" s="89">
        <v>363962</v>
      </c>
      <c r="D75" s="63" t="s">
        <v>72</v>
      </c>
      <c r="E75" s="63" t="s">
        <v>72</v>
      </c>
      <c r="F75" s="63" t="s">
        <v>72</v>
      </c>
      <c r="G75" s="63" t="s">
        <v>72</v>
      </c>
      <c r="H75" s="63" t="s">
        <v>72</v>
      </c>
      <c r="I75" s="63" t="s">
        <v>72</v>
      </c>
      <c r="J75" s="63" t="s">
        <v>72</v>
      </c>
      <c r="K75" s="63" t="s">
        <v>72</v>
      </c>
      <c r="L75" s="63" t="s">
        <v>72</v>
      </c>
      <c r="M75" s="63" t="s">
        <v>72</v>
      </c>
      <c r="N75" s="63" t="s">
        <v>72</v>
      </c>
      <c r="O75" s="63" t="s">
        <v>72</v>
      </c>
      <c r="P75" s="63" t="s">
        <v>72</v>
      </c>
      <c r="Q75" s="63" t="s">
        <v>72</v>
      </c>
      <c r="R75" s="44" t="s">
        <v>72</v>
      </c>
      <c r="S75" s="14" t="s">
        <v>72</v>
      </c>
    </row>
    <row r="76" spans="1:19" ht="25.5">
      <c r="A76" s="16"/>
      <c r="B76" s="17" t="s">
        <v>86</v>
      </c>
      <c r="C76" s="89">
        <v>8658</v>
      </c>
      <c r="D76" s="63" t="s">
        <v>72</v>
      </c>
      <c r="E76" s="63" t="s">
        <v>72</v>
      </c>
      <c r="F76" s="63" t="s">
        <v>72</v>
      </c>
      <c r="G76" s="63" t="s">
        <v>72</v>
      </c>
      <c r="H76" s="63" t="s">
        <v>72</v>
      </c>
      <c r="I76" s="63" t="s">
        <v>72</v>
      </c>
      <c r="J76" s="63" t="s">
        <v>72</v>
      </c>
      <c r="K76" s="63" t="s">
        <v>72</v>
      </c>
      <c r="L76" s="63" t="s">
        <v>72</v>
      </c>
      <c r="M76" s="63" t="s">
        <v>72</v>
      </c>
      <c r="N76" s="63" t="s">
        <v>72</v>
      </c>
      <c r="O76" s="63" t="s">
        <v>72</v>
      </c>
      <c r="P76" s="63" t="s">
        <v>72</v>
      </c>
      <c r="Q76" s="63" t="s">
        <v>72</v>
      </c>
      <c r="R76" s="63" t="s">
        <v>72</v>
      </c>
      <c r="S76" s="20" t="s">
        <v>72</v>
      </c>
    </row>
    <row r="77" spans="1:19" ht="19.5" customHeight="1">
      <c r="A77" s="16"/>
      <c r="B77" s="50" t="s">
        <v>87</v>
      </c>
      <c r="C77" s="89">
        <v>1144</v>
      </c>
      <c r="D77" s="63" t="s">
        <v>72</v>
      </c>
      <c r="E77" s="63" t="s">
        <v>72</v>
      </c>
      <c r="F77" s="63" t="s">
        <v>72</v>
      </c>
      <c r="G77" s="63" t="s">
        <v>72</v>
      </c>
      <c r="H77" s="63" t="s">
        <v>72</v>
      </c>
      <c r="I77" s="63" t="s">
        <v>72</v>
      </c>
      <c r="J77" s="63" t="s">
        <v>72</v>
      </c>
      <c r="K77" s="63" t="s">
        <v>72</v>
      </c>
      <c r="L77" s="63" t="s">
        <v>72</v>
      </c>
      <c r="M77" s="63" t="s">
        <v>72</v>
      </c>
      <c r="N77" s="63" t="s">
        <v>72</v>
      </c>
      <c r="O77" s="63" t="s">
        <v>72</v>
      </c>
      <c r="P77" s="63" t="s">
        <v>72</v>
      </c>
      <c r="Q77" s="63" t="s">
        <v>72</v>
      </c>
      <c r="R77" s="63" t="s">
        <v>72</v>
      </c>
      <c r="S77" s="20" t="s">
        <v>72</v>
      </c>
    </row>
    <row r="78" spans="1:19" ht="32.25" customHeight="1">
      <c r="A78" s="28"/>
      <c r="B78" s="11" t="s">
        <v>88</v>
      </c>
      <c r="C78" s="89">
        <v>14161</v>
      </c>
      <c r="D78" s="44" t="s">
        <v>72</v>
      </c>
      <c r="E78" s="44" t="s">
        <v>72</v>
      </c>
      <c r="F78" s="44" t="s">
        <v>72</v>
      </c>
      <c r="G78" s="44" t="s">
        <v>72</v>
      </c>
      <c r="H78" s="44" t="s">
        <v>72</v>
      </c>
      <c r="I78" s="44" t="s">
        <v>72</v>
      </c>
      <c r="J78" s="44" t="s">
        <v>72</v>
      </c>
      <c r="K78" s="44" t="s">
        <v>72</v>
      </c>
      <c r="L78" s="44" t="s">
        <v>72</v>
      </c>
      <c r="M78" s="44" t="s">
        <v>72</v>
      </c>
      <c r="N78" s="44" t="s">
        <v>72</v>
      </c>
      <c r="O78" s="44" t="s">
        <v>72</v>
      </c>
      <c r="P78" s="44" t="s">
        <v>72</v>
      </c>
      <c r="Q78" s="44" t="s">
        <v>72</v>
      </c>
      <c r="R78" s="63" t="s">
        <v>72</v>
      </c>
      <c r="S78" s="20" t="s">
        <v>72</v>
      </c>
    </row>
    <row r="79" spans="1:19" ht="17.25" customHeight="1">
      <c r="A79" s="28"/>
      <c r="B79" s="11" t="s">
        <v>89</v>
      </c>
      <c r="C79" s="89">
        <v>1701</v>
      </c>
      <c r="D79" s="44" t="s">
        <v>72</v>
      </c>
      <c r="E79" s="44" t="s">
        <v>72</v>
      </c>
      <c r="F79" s="44" t="s">
        <v>72</v>
      </c>
      <c r="G79" s="44" t="s">
        <v>72</v>
      </c>
      <c r="H79" s="44" t="s">
        <v>72</v>
      </c>
      <c r="I79" s="44" t="s">
        <v>72</v>
      </c>
      <c r="J79" s="44" t="s">
        <v>72</v>
      </c>
      <c r="K79" s="44" t="s">
        <v>72</v>
      </c>
      <c r="L79" s="44" t="s">
        <v>72</v>
      </c>
      <c r="M79" s="44" t="s">
        <v>72</v>
      </c>
      <c r="N79" s="44" t="s">
        <v>72</v>
      </c>
      <c r="O79" s="44" t="s">
        <v>72</v>
      </c>
      <c r="P79" s="44" t="s">
        <v>72</v>
      </c>
      <c r="Q79" s="44" t="s">
        <v>72</v>
      </c>
      <c r="R79" s="63" t="s">
        <v>72</v>
      </c>
      <c r="S79" s="20" t="s">
        <v>72</v>
      </c>
    </row>
    <row r="80" spans="1:19" ht="20.25" customHeight="1">
      <c r="A80" s="28"/>
      <c r="B80" s="11" t="s">
        <v>90</v>
      </c>
      <c r="C80" s="89">
        <v>3429</v>
      </c>
      <c r="D80" s="44" t="s">
        <v>72</v>
      </c>
      <c r="E80" s="44" t="s">
        <v>72</v>
      </c>
      <c r="F80" s="44" t="s">
        <v>72</v>
      </c>
      <c r="G80" s="44" t="s">
        <v>72</v>
      </c>
      <c r="H80" s="44" t="s">
        <v>72</v>
      </c>
      <c r="I80" s="44" t="s">
        <v>72</v>
      </c>
      <c r="J80" s="44" t="s">
        <v>72</v>
      </c>
      <c r="K80" s="44" t="s">
        <v>72</v>
      </c>
      <c r="L80" s="44" t="s">
        <v>72</v>
      </c>
      <c r="M80" s="44" t="s">
        <v>72</v>
      </c>
      <c r="N80" s="44" t="s">
        <v>72</v>
      </c>
      <c r="O80" s="44" t="s">
        <v>72</v>
      </c>
      <c r="P80" s="44" t="s">
        <v>72</v>
      </c>
      <c r="Q80" s="44" t="s">
        <v>72</v>
      </c>
      <c r="R80" s="63" t="s">
        <v>72</v>
      </c>
      <c r="S80" s="20" t="s">
        <v>72</v>
      </c>
    </row>
    <row r="81" spans="1:19" s="21" customFormat="1" ht="32.25" customHeight="1">
      <c r="A81" s="16"/>
      <c r="B81" s="17" t="s">
        <v>91</v>
      </c>
      <c r="C81" s="109"/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63" t="s">
        <v>72</v>
      </c>
      <c r="N81" s="63" t="s">
        <v>72</v>
      </c>
      <c r="O81" s="63" t="s">
        <v>72</v>
      </c>
      <c r="P81" s="63" t="s">
        <v>72</v>
      </c>
      <c r="Q81" s="45">
        <v>58660880</v>
      </c>
      <c r="R81" s="63">
        <v>56898020</v>
      </c>
      <c r="S81" s="46">
        <v>59114640</v>
      </c>
    </row>
    <row r="82" spans="1:19" s="21" customFormat="1" ht="30.75" customHeight="1">
      <c r="A82" s="77"/>
      <c r="B82" s="78" t="s">
        <v>92</v>
      </c>
      <c r="C82" s="110"/>
      <c r="D82" s="111" t="s">
        <v>72</v>
      </c>
      <c r="E82" s="111" t="s">
        <v>72</v>
      </c>
      <c r="F82" s="111" t="s">
        <v>72</v>
      </c>
      <c r="G82" s="111" t="s">
        <v>72</v>
      </c>
      <c r="H82" s="111" t="s">
        <v>72</v>
      </c>
      <c r="I82" s="111" t="s">
        <v>72</v>
      </c>
      <c r="J82" s="111" t="s">
        <v>72</v>
      </c>
      <c r="K82" s="111" t="s">
        <v>72</v>
      </c>
      <c r="L82" s="111" t="s">
        <v>72</v>
      </c>
      <c r="M82" s="111" t="s">
        <v>72</v>
      </c>
      <c r="N82" s="111" t="s">
        <v>72</v>
      </c>
      <c r="O82" s="111" t="s">
        <v>72</v>
      </c>
      <c r="P82" s="111" t="s">
        <v>72</v>
      </c>
      <c r="Q82" s="92">
        <f>SUM(Q81/Q34)</f>
        <v>6.5793626234326998</v>
      </c>
      <c r="R82" s="107">
        <v>6.6181581827417322</v>
      </c>
      <c r="S82" s="93">
        <v>6.7900413728131017</v>
      </c>
    </row>
    <row r="83" spans="1:19" s="21" customFormat="1" ht="22.5" customHeight="1">
      <c r="A83" s="81" t="s">
        <v>93</v>
      </c>
      <c r="B83" s="82" t="s">
        <v>94</v>
      </c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45"/>
      <c r="S83" s="176"/>
    </row>
    <row r="84" spans="1:19" s="21" customFormat="1">
      <c r="A84" s="16"/>
      <c r="B84" s="17" t="s">
        <v>95</v>
      </c>
      <c r="C84" s="115"/>
      <c r="D84" s="63" t="s">
        <v>72</v>
      </c>
      <c r="E84" s="63" t="s">
        <v>72</v>
      </c>
      <c r="F84" s="63" t="s">
        <v>72</v>
      </c>
      <c r="G84" s="63" t="s">
        <v>72</v>
      </c>
      <c r="H84" s="63" t="s">
        <v>72</v>
      </c>
      <c r="I84" s="63" t="s">
        <v>72</v>
      </c>
      <c r="J84" s="63" t="s">
        <v>72</v>
      </c>
      <c r="K84" s="63" t="s">
        <v>72</v>
      </c>
      <c r="L84" s="63" t="s">
        <v>72</v>
      </c>
      <c r="M84" s="63" t="s">
        <v>72</v>
      </c>
      <c r="N84" s="63" t="s">
        <v>72</v>
      </c>
      <c r="O84" s="63" t="s">
        <v>72</v>
      </c>
      <c r="P84" s="63" t="s">
        <v>72</v>
      </c>
      <c r="Q84" s="63">
        <v>0</v>
      </c>
      <c r="R84" s="37">
        <v>1</v>
      </c>
      <c r="S84" s="20">
        <v>1</v>
      </c>
    </row>
    <row r="85" spans="1:19" s="21" customFormat="1">
      <c r="A85" s="16"/>
      <c r="B85" s="17" t="s">
        <v>96</v>
      </c>
      <c r="C85" s="115"/>
      <c r="D85" s="63" t="s">
        <v>72</v>
      </c>
      <c r="E85" s="63" t="s">
        <v>72</v>
      </c>
      <c r="F85" s="63" t="s">
        <v>72</v>
      </c>
      <c r="G85" s="63" t="s">
        <v>72</v>
      </c>
      <c r="H85" s="63" t="s">
        <v>72</v>
      </c>
      <c r="I85" s="63" t="s">
        <v>72</v>
      </c>
      <c r="J85" s="63" t="s">
        <v>72</v>
      </c>
      <c r="K85" s="63" t="s">
        <v>72</v>
      </c>
      <c r="L85" s="63" t="s">
        <v>72</v>
      </c>
      <c r="M85" s="63" t="s">
        <v>72</v>
      </c>
      <c r="N85" s="63" t="s">
        <v>72</v>
      </c>
      <c r="O85" s="63" t="s">
        <v>72</v>
      </c>
      <c r="P85" s="63" t="s">
        <v>72</v>
      </c>
      <c r="Q85" s="63">
        <v>1</v>
      </c>
      <c r="R85" s="127">
        <v>0</v>
      </c>
      <c r="S85" s="20">
        <v>4</v>
      </c>
    </row>
    <row r="86" spans="1:19" s="21" customFormat="1">
      <c r="A86" s="16"/>
      <c r="B86" s="17" t="s">
        <v>97</v>
      </c>
      <c r="C86" s="115"/>
      <c r="D86" s="63" t="s">
        <v>72</v>
      </c>
      <c r="E86" s="63" t="s">
        <v>72</v>
      </c>
      <c r="F86" s="63" t="s">
        <v>72</v>
      </c>
      <c r="G86" s="63" t="s">
        <v>72</v>
      </c>
      <c r="H86" s="63" t="s">
        <v>72</v>
      </c>
      <c r="I86" s="63" t="s">
        <v>72</v>
      </c>
      <c r="J86" s="63" t="s">
        <v>72</v>
      </c>
      <c r="K86" s="63" t="s">
        <v>72</v>
      </c>
      <c r="L86" s="63" t="s">
        <v>72</v>
      </c>
      <c r="M86" s="63" t="s">
        <v>72</v>
      </c>
      <c r="N86" s="63" t="s">
        <v>72</v>
      </c>
      <c r="O86" s="63" t="s">
        <v>72</v>
      </c>
      <c r="P86" s="63" t="s">
        <v>72</v>
      </c>
      <c r="Q86" s="63">
        <v>0</v>
      </c>
      <c r="R86" s="63">
        <v>3</v>
      </c>
      <c r="S86" s="20">
        <v>2</v>
      </c>
    </row>
    <row r="87" spans="1:19" s="21" customFormat="1">
      <c r="A87" s="16"/>
      <c r="B87" s="17" t="s">
        <v>98</v>
      </c>
      <c r="C87" s="115"/>
      <c r="D87" s="63" t="s">
        <v>72</v>
      </c>
      <c r="E87" s="63" t="s">
        <v>72</v>
      </c>
      <c r="F87" s="63" t="s">
        <v>72</v>
      </c>
      <c r="G87" s="63" t="s">
        <v>72</v>
      </c>
      <c r="H87" s="63" t="s">
        <v>72</v>
      </c>
      <c r="I87" s="63" t="s">
        <v>72</v>
      </c>
      <c r="J87" s="63" t="s">
        <v>72</v>
      </c>
      <c r="K87" s="63" t="s">
        <v>72</v>
      </c>
      <c r="L87" s="63" t="s">
        <v>72</v>
      </c>
      <c r="M87" s="63" t="s">
        <v>72</v>
      </c>
      <c r="N87" s="63" t="s">
        <v>72</v>
      </c>
      <c r="O87" s="63" t="s">
        <v>72</v>
      </c>
      <c r="P87" s="63" t="s">
        <v>72</v>
      </c>
      <c r="Q87" s="63">
        <v>1</v>
      </c>
      <c r="R87" s="63">
        <v>1</v>
      </c>
      <c r="S87" s="20">
        <v>0</v>
      </c>
    </row>
    <row r="88" spans="1:19" s="21" customFormat="1">
      <c r="A88" s="16"/>
      <c r="B88" s="17" t="s">
        <v>99</v>
      </c>
      <c r="C88" s="115"/>
      <c r="D88" s="63" t="s">
        <v>72</v>
      </c>
      <c r="E88" s="63" t="s">
        <v>72</v>
      </c>
      <c r="F88" s="63" t="s">
        <v>72</v>
      </c>
      <c r="G88" s="63" t="s">
        <v>72</v>
      </c>
      <c r="H88" s="63" t="s">
        <v>72</v>
      </c>
      <c r="I88" s="63" t="s">
        <v>72</v>
      </c>
      <c r="J88" s="63" t="s">
        <v>72</v>
      </c>
      <c r="K88" s="63" t="s">
        <v>72</v>
      </c>
      <c r="L88" s="63" t="s">
        <v>72</v>
      </c>
      <c r="M88" s="63" t="s">
        <v>72</v>
      </c>
      <c r="N88" s="63" t="s">
        <v>72</v>
      </c>
      <c r="O88" s="63" t="s">
        <v>72</v>
      </c>
      <c r="P88" s="63" t="s">
        <v>72</v>
      </c>
      <c r="Q88" s="63">
        <f>SUM(Q84:Q87)</f>
        <v>2</v>
      </c>
      <c r="R88" s="63">
        <v>5</v>
      </c>
      <c r="S88" s="20">
        <v>7</v>
      </c>
    </row>
    <row r="89" spans="1:19" s="21" customFormat="1" ht="25.5">
      <c r="A89" s="39"/>
      <c r="B89" s="40" t="s">
        <v>100</v>
      </c>
      <c r="C89" s="118"/>
      <c r="D89" s="80" t="s">
        <v>72</v>
      </c>
      <c r="E89" s="80" t="s">
        <v>72</v>
      </c>
      <c r="F89" s="80" t="s">
        <v>72</v>
      </c>
      <c r="G89" s="80" t="s">
        <v>72</v>
      </c>
      <c r="H89" s="80" t="s">
        <v>72</v>
      </c>
      <c r="I89" s="80" t="s">
        <v>72</v>
      </c>
      <c r="J89" s="80" t="s">
        <v>72</v>
      </c>
      <c r="K89" s="80" t="s">
        <v>72</v>
      </c>
      <c r="L89" s="80" t="s">
        <v>72</v>
      </c>
      <c r="M89" s="80" t="s">
        <v>72</v>
      </c>
      <c r="N89" s="80" t="s">
        <v>72</v>
      </c>
      <c r="O89" s="80" t="s">
        <v>72</v>
      </c>
      <c r="P89" s="80" t="s">
        <v>72</v>
      </c>
      <c r="Q89" s="107">
        <f>Q88/Q48*100000</f>
        <v>3.2267973906825578E-2</v>
      </c>
      <c r="R89" s="107">
        <v>8.3326944934221714E-2</v>
      </c>
      <c r="S89" s="108">
        <v>0.1141032980417266</v>
      </c>
    </row>
    <row r="90" spans="1:19" s="21" customFormat="1">
      <c r="A90" s="119" t="s">
        <v>19</v>
      </c>
      <c r="B90" s="11" t="s">
        <v>101</v>
      </c>
      <c r="C90" s="112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44"/>
      <c r="S90" s="134"/>
    </row>
    <row r="91" spans="1:19" s="21" customFormat="1">
      <c r="A91" s="119"/>
      <c r="B91" s="17" t="s">
        <v>95</v>
      </c>
      <c r="C91" s="115"/>
      <c r="D91" s="63" t="s">
        <v>72</v>
      </c>
      <c r="E91" s="63" t="s">
        <v>72</v>
      </c>
      <c r="F91" s="63" t="s">
        <v>72</v>
      </c>
      <c r="G91" s="63" t="s">
        <v>72</v>
      </c>
      <c r="H91" s="63" t="s">
        <v>72</v>
      </c>
      <c r="I91" s="63" t="s">
        <v>72</v>
      </c>
      <c r="J91" s="63" t="s">
        <v>72</v>
      </c>
      <c r="K91" s="63" t="s">
        <v>72</v>
      </c>
      <c r="L91" s="63" t="s">
        <v>72</v>
      </c>
      <c r="M91" s="63" t="s">
        <v>72</v>
      </c>
      <c r="N91" s="63" t="s">
        <v>72</v>
      </c>
      <c r="O91" s="63" t="s">
        <v>72</v>
      </c>
      <c r="P91" s="63" t="s">
        <v>72</v>
      </c>
      <c r="Q91" s="63">
        <v>2</v>
      </c>
      <c r="R91" s="37">
        <v>1</v>
      </c>
      <c r="S91" s="20">
        <v>0</v>
      </c>
    </row>
    <row r="92" spans="1:19" s="21" customFormat="1">
      <c r="A92" s="119"/>
      <c r="B92" s="17" t="s">
        <v>96</v>
      </c>
      <c r="C92" s="115"/>
      <c r="D92" s="63" t="s">
        <v>72</v>
      </c>
      <c r="E92" s="63" t="s">
        <v>72</v>
      </c>
      <c r="F92" s="63" t="s">
        <v>72</v>
      </c>
      <c r="G92" s="63" t="s">
        <v>72</v>
      </c>
      <c r="H92" s="63" t="s">
        <v>72</v>
      </c>
      <c r="I92" s="63" t="s">
        <v>72</v>
      </c>
      <c r="J92" s="63" t="s">
        <v>72</v>
      </c>
      <c r="K92" s="63" t="s">
        <v>72</v>
      </c>
      <c r="L92" s="63" t="s">
        <v>72</v>
      </c>
      <c r="M92" s="63" t="s">
        <v>72</v>
      </c>
      <c r="N92" s="63" t="s">
        <v>72</v>
      </c>
      <c r="O92" s="63" t="s">
        <v>72</v>
      </c>
      <c r="P92" s="63" t="s">
        <v>72</v>
      </c>
      <c r="Q92" s="63">
        <v>0</v>
      </c>
      <c r="R92" s="169">
        <v>2</v>
      </c>
      <c r="S92" s="20">
        <v>2</v>
      </c>
    </row>
    <row r="93" spans="1:19" s="21" customFormat="1">
      <c r="A93" s="119"/>
      <c r="B93" s="17" t="s">
        <v>97</v>
      </c>
      <c r="C93" s="115"/>
      <c r="D93" s="63" t="s">
        <v>72</v>
      </c>
      <c r="E93" s="63" t="s">
        <v>72</v>
      </c>
      <c r="F93" s="63" t="s">
        <v>72</v>
      </c>
      <c r="G93" s="63" t="s">
        <v>72</v>
      </c>
      <c r="H93" s="63" t="s">
        <v>72</v>
      </c>
      <c r="I93" s="63" t="s">
        <v>72</v>
      </c>
      <c r="J93" s="63" t="s">
        <v>72</v>
      </c>
      <c r="K93" s="63" t="s">
        <v>72</v>
      </c>
      <c r="L93" s="63" t="s">
        <v>72</v>
      </c>
      <c r="M93" s="63" t="s">
        <v>72</v>
      </c>
      <c r="N93" s="63" t="s">
        <v>72</v>
      </c>
      <c r="O93" s="63" t="s">
        <v>72</v>
      </c>
      <c r="P93" s="63" t="s">
        <v>72</v>
      </c>
      <c r="Q93" s="63">
        <v>2</v>
      </c>
      <c r="R93" s="63">
        <v>3</v>
      </c>
      <c r="S93" s="20">
        <v>0</v>
      </c>
    </row>
    <row r="94" spans="1:19" s="21" customFormat="1">
      <c r="A94" s="119"/>
      <c r="B94" s="17" t="s">
        <v>98</v>
      </c>
      <c r="C94" s="115"/>
      <c r="D94" s="63" t="s">
        <v>72</v>
      </c>
      <c r="E94" s="63" t="s">
        <v>72</v>
      </c>
      <c r="F94" s="63" t="s">
        <v>72</v>
      </c>
      <c r="G94" s="63" t="s">
        <v>72</v>
      </c>
      <c r="H94" s="63" t="s">
        <v>72</v>
      </c>
      <c r="I94" s="63" t="s">
        <v>72</v>
      </c>
      <c r="J94" s="63" t="s">
        <v>72</v>
      </c>
      <c r="K94" s="63" t="s">
        <v>72</v>
      </c>
      <c r="L94" s="63" t="s">
        <v>72</v>
      </c>
      <c r="M94" s="63" t="s">
        <v>72</v>
      </c>
      <c r="N94" s="63" t="s">
        <v>72</v>
      </c>
      <c r="O94" s="63" t="s">
        <v>72</v>
      </c>
      <c r="P94" s="63" t="s">
        <v>72</v>
      </c>
      <c r="Q94" s="63">
        <v>0</v>
      </c>
      <c r="R94" s="63">
        <v>0</v>
      </c>
      <c r="S94" s="20">
        <v>0</v>
      </c>
    </row>
    <row r="95" spans="1:19" s="21" customFormat="1">
      <c r="A95" s="119"/>
      <c r="B95" s="78" t="s">
        <v>99</v>
      </c>
      <c r="C95" s="122"/>
      <c r="D95" s="111" t="s">
        <v>72</v>
      </c>
      <c r="E95" s="111" t="s">
        <v>72</v>
      </c>
      <c r="F95" s="111" t="s">
        <v>72</v>
      </c>
      <c r="G95" s="111" t="s">
        <v>72</v>
      </c>
      <c r="H95" s="111" t="s">
        <v>72</v>
      </c>
      <c r="I95" s="111" t="s">
        <v>72</v>
      </c>
      <c r="J95" s="111" t="s">
        <v>72</v>
      </c>
      <c r="K95" s="111" t="s">
        <v>72</v>
      </c>
      <c r="L95" s="111" t="s">
        <v>72</v>
      </c>
      <c r="M95" s="111" t="s">
        <v>72</v>
      </c>
      <c r="N95" s="111" t="s">
        <v>72</v>
      </c>
      <c r="O95" s="111" t="s">
        <v>72</v>
      </c>
      <c r="P95" s="111" t="s">
        <v>72</v>
      </c>
      <c r="Q95" s="111">
        <f>SUM(Q91:Q94)</f>
        <v>4</v>
      </c>
      <c r="R95" s="63">
        <v>6</v>
      </c>
      <c r="S95" s="177">
        <v>2</v>
      </c>
    </row>
    <row r="96" spans="1:19" s="21" customFormat="1" ht="26.25" thickBot="1">
      <c r="A96" s="70"/>
      <c r="B96" s="71" t="s">
        <v>100</v>
      </c>
      <c r="C96" s="123"/>
      <c r="D96" s="124" t="s">
        <v>72</v>
      </c>
      <c r="E96" s="124" t="s">
        <v>72</v>
      </c>
      <c r="F96" s="124" t="s">
        <v>72</v>
      </c>
      <c r="G96" s="124" t="s">
        <v>72</v>
      </c>
      <c r="H96" s="124" t="s">
        <v>72</v>
      </c>
      <c r="I96" s="124" t="s">
        <v>72</v>
      </c>
      <c r="J96" s="124" t="s">
        <v>72</v>
      </c>
      <c r="K96" s="124" t="s">
        <v>72</v>
      </c>
      <c r="L96" s="124" t="s">
        <v>72</v>
      </c>
      <c r="M96" s="124" t="s">
        <v>72</v>
      </c>
      <c r="N96" s="124" t="s">
        <v>72</v>
      </c>
      <c r="O96" s="124" t="s">
        <v>72</v>
      </c>
      <c r="P96" s="124" t="s">
        <v>72</v>
      </c>
      <c r="Q96" s="73">
        <f>Q95/Q33*100000</f>
        <v>0.1367172680061769</v>
      </c>
      <c r="R96" s="73">
        <v>0.22815987162204554</v>
      </c>
      <c r="S96" s="74">
        <v>7.1404510658640563E-2</v>
      </c>
    </row>
    <row r="97" spans="1:19" s="21" customFormat="1" ht="15" thickTop="1">
      <c r="A97" s="28"/>
      <c r="B97" s="125" t="s">
        <v>102</v>
      </c>
      <c r="C97" s="126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27"/>
      <c r="R97" s="120"/>
      <c r="S97" s="178"/>
    </row>
    <row r="98" spans="1:19" s="21" customFormat="1">
      <c r="A98" s="16">
        <v>23</v>
      </c>
      <c r="B98" s="17" t="s">
        <v>103</v>
      </c>
      <c r="C98" s="128"/>
      <c r="D98" s="13">
        <v>169</v>
      </c>
      <c r="E98" s="13">
        <v>104</v>
      </c>
      <c r="F98" s="13">
        <v>131</v>
      </c>
      <c r="G98" s="13">
        <v>96</v>
      </c>
      <c r="H98" s="13">
        <v>103</v>
      </c>
      <c r="I98" s="13">
        <v>74</v>
      </c>
      <c r="J98" s="13">
        <v>65</v>
      </c>
      <c r="K98" s="13">
        <v>56</v>
      </c>
      <c r="L98" s="13">
        <v>66</v>
      </c>
      <c r="M98" s="13">
        <v>144</v>
      </c>
      <c r="N98" s="13">
        <v>55</v>
      </c>
      <c r="O98" s="13">
        <v>65</v>
      </c>
      <c r="P98" s="13">
        <v>36</v>
      </c>
      <c r="Q98" s="19">
        <f>SUM(C98:P98)</f>
        <v>1164</v>
      </c>
      <c r="R98" s="92">
        <v>950</v>
      </c>
      <c r="S98" s="96">
        <v>838</v>
      </c>
    </row>
    <row r="99" spans="1:19" s="15" customFormat="1" ht="25.5">
      <c r="A99" s="51">
        <v>24</v>
      </c>
      <c r="B99" s="40" t="s">
        <v>104</v>
      </c>
      <c r="C99" s="129"/>
      <c r="D99" s="42">
        <f t="shared" ref="D99:Q99" si="33">SUM(D98/D48*10000)</f>
        <v>2.7165788466917213</v>
      </c>
      <c r="E99" s="42">
        <f t="shared" si="33"/>
        <v>1.4988722427596544</v>
      </c>
      <c r="F99" s="42">
        <f t="shared" si="33"/>
        <v>2.3260686598648395</v>
      </c>
      <c r="G99" s="42">
        <f t="shared" si="33"/>
        <v>1.8435763845546709</v>
      </c>
      <c r="H99" s="42">
        <f t="shared" si="33"/>
        <v>1.5410372227816169</v>
      </c>
      <c r="I99" s="42">
        <f t="shared" si="33"/>
        <v>2.1042693919798903</v>
      </c>
      <c r="J99" s="42">
        <f t="shared" si="33"/>
        <v>1.3615188685568738</v>
      </c>
      <c r="K99" s="42">
        <f t="shared" si="33"/>
        <v>1.2248710057722048</v>
      </c>
      <c r="L99" s="42">
        <f t="shared" si="33"/>
        <v>1.8024661013477532</v>
      </c>
      <c r="M99" s="42">
        <f t="shared" si="33"/>
        <v>2.3307457739047113</v>
      </c>
      <c r="N99" s="42">
        <f t="shared" si="33"/>
        <v>1.9701751306584325</v>
      </c>
      <c r="O99" s="42">
        <f t="shared" si="33"/>
        <v>2.0713830465264498</v>
      </c>
      <c r="P99" s="42">
        <f t="shared" si="33"/>
        <v>1.3502160345655305</v>
      </c>
      <c r="Q99" s="42">
        <f t="shared" si="33"/>
        <v>1.8779960813772487</v>
      </c>
      <c r="R99" s="168">
        <v>1.5832119537502125</v>
      </c>
      <c r="S99" s="43">
        <v>1.3659794822709554</v>
      </c>
    </row>
    <row r="100" spans="1:19" s="130" customFormat="1" ht="25.5">
      <c r="A100" s="10">
        <v>25</v>
      </c>
      <c r="B100" s="11" t="s">
        <v>105</v>
      </c>
      <c r="C100" s="126"/>
      <c r="D100" s="13">
        <v>156553</v>
      </c>
      <c r="E100" s="13">
        <v>27317</v>
      </c>
      <c r="F100" s="13">
        <v>141292</v>
      </c>
      <c r="G100" s="13">
        <v>168010</v>
      </c>
      <c r="H100" s="13">
        <v>185547</v>
      </c>
      <c r="I100" s="13">
        <v>113180</v>
      </c>
      <c r="J100" s="13">
        <v>155328</v>
      </c>
      <c r="K100" s="13">
        <v>96880</v>
      </c>
      <c r="L100" s="13">
        <v>96897</v>
      </c>
      <c r="M100" s="13">
        <v>28417</v>
      </c>
      <c r="N100" s="13">
        <v>12737</v>
      </c>
      <c r="O100" s="13">
        <v>11961</v>
      </c>
      <c r="P100" s="13">
        <v>25914</v>
      </c>
      <c r="Q100" s="44">
        <f>SUM(C100:P100)</f>
        <v>1220033</v>
      </c>
      <c r="R100" s="13">
        <v>1174115</v>
      </c>
      <c r="S100" s="14">
        <v>1204042</v>
      </c>
    </row>
    <row r="101" spans="1:19" s="33" customFormat="1" ht="25.5">
      <c r="A101" s="65"/>
      <c r="B101" s="17" t="s">
        <v>106</v>
      </c>
      <c r="C101" s="131"/>
      <c r="D101" s="37">
        <f>D100/C5</f>
        <v>5050.0967741935483</v>
      </c>
      <c r="E101" s="37">
        <f>E100/C5</f>
        <v>881.19354838709683</v>
      </c>
      <c r="F101" s="37">
        <f>F100/C5</f>
        <v>4557.8064516129034</v>
      </c>
      <c r="G101" s="37">
        <f>G100/C5</f>
        <v>5419.677419354839</v>
      </c>
      <c r="H101" s="37">
        <f>H100/C5</f>
        <v>5985.3870967741932</v>
      </c>
      <c r="I101" s="37">
        <f>I100/C5</f>
        <v>3650.9677419354839</v>
      </c>
      <c r="J101" s="37">
        <f>J100/C5</f>
        <v>5010.5806451612907</v>
      </c>
      <c r="K101" s="37">
        <f>K100/C5</f>
        <v>3125.1612903225805</v>
      </c>
      <c r="L101" s="37">
        <f>L100/C5</f>
        <v>3125.7096774193546</v>
      </c>
      <c r="M101" s="37">
        <f>M100/C5</f>
        <v>916.67741935483866</v>
      </c>
      <c r="N101" s="37">
        <f>N100/C5</f>
        <v>410.87096774193549</v>
      </c>
      <c r="O101" s="37">
        <f>O100/C5</f>
        <v>385.83870967741933</v>
      </c>
      <c r="P101" s="37">
        <f>P100/C5</f>
        <v>835.93548387096769</v>
      </c>
      <c r="Q101" s="37">
        <f>Q100/C5</f>
        <v>39355.903225806454</v>
      </c>
      <c r="R101" s="128">
        <v>39137.166666666664</v>
      </c>
      <c r="S101" s="38">
        <v>38840.06451612903</v>
      </c>
    </row>
    <row r="102" spans="1:19" ht="25.5">
      <c r="A102" s="16"/>
      <c r="B102" s="17" t="s">
        <v>107</v>
      </c>
      <c r="C102" s="115"/>
      <c r="D102" s="13">
        <v>60.12</v>
      </c>
      <c r="E102" s="13">
        <v>55.07</v>
      </c>
      <c r="F102" s="13">
        <v>61.59</v>
      </c>
      <c r="G102" s="13">
        <v>63.02</v>
      </c>
      <c r="H102" s="13">
        <v>76.739999999999995</v>
      </c>
      <c r="I102" s="13">
        <v>70.209999999999994</v>
      </c>
      <c r="J102" s="13">
        <v>67.709999999999994</v>
      </c>
      <c r="K102" s="13">
        <v>62.5</v>
      </c>
      <c r="L102" s="13">
        <v>78.14</v>
      </c>
      <c r="M102" s="13">
        <v>57.29</v>
      </c>
      <c r="N102" s="13">
        <v>51.36</v>
      </c>
      <c r="O102" s="13">
        <v>55.12</v>
      </c>
      <c r="P102" s="13">
        <v>52.25</v>
      </c>
      <c r="Q102" s="97">
        <v>60.71</v>
      </c>
      <c r="R102" s="44">
        <v>62.42</v>
      </c>
      <c r="S102" s="98">
        <v>60.31</v>
      </c>
    </row>
    <row r="103" spans="1:19" ht="19.5" customHeight="1">
      <c r="A103" s="16"/>
      <c r="B103" s="17" t="s">
        <v>108</v>
      </c>
      <c r="C103" s="115"/>
      <c r="D103" s="13">
        <v>27449</v>
      </c>
      <c r="E103" s="13">
        <v>194433</v>
      </c>
      <c r="F103" s="13">
        <v>47281</v>
      </c>
      <c r="G103" s="13">
        <v>0</v>
      </c>
      <c r="H103" s="13">
        <v>26444</v>
      </c>
      <c r="I103" s="13">
        <v>0</v>
      </c>
      <c r="J103" s="13">
        <v>5417</v>
      </c>
      <c r="K103" s="13">
        <v>26625</v>
      </c>
      <c r="L103" s="13">
        <v>0</v>
      </c>
      <c r="M103" s="13">
        <v>154315</v>
      </c>
      <c r="N103" s="13">
        <v>85925</v>
      </c>
      <c r="O103" s="13">
        <v>94876</v>
      </c>
      <c r="P103" s="13">
        <v>50796</v>
      </c>
      <c r="Q103" s="37">
        <f>SUM(C103:P103)</f>
        <v>713561</v>
      </c>
      <c r="R103" s="37">
        <v>686317</v>
      </c>
      <c r="S103" s="38">
        <v>709976</v>
      </c>
    </row>
    <row r="104" spans="1:19" ht="25.5">
      <c r="A104" s="16"/>
      <c r="B104" s="17" t="s">
        <v>109</v>
      </c>
      <c r="C104" s="115"/>
      <c r="D104" s="37">
        <f>D103/C5</f>
        <v>885.45161290322585</v>
      </c>
      <c r="E104" s="37">
        <f>E103/C5</f>
        <v>6272.0322580645161</v>
      </c>
      <c r="F104" s="37">
        <f>F103/C5</f>
        <v>1525.1935483870968</v>
      </c>
      <c r="G104" s="37">
        <f>G103/C5</f>
        <v>0</v>
      </c>
      <c r="H104" s="37">
        <f>H103/C5</f>
        <v>853.0322580645161</v>
      </c>
      <c r="I104" s="37">
        <f>I103/C5</f>
        <v>0</v>
      </c>
      <c r="J104" s="37">
        <f>J103/C5</f>
        <v>174.74193548387098</v>
      </c>
      <c r="K104" s="37">
        <f>K103/C5</f>
        <v>858.87096774193549</v>
      </c>
      <c r="L104" s="37">
        <f>L103/C5</f>
        <v>0</v>
      </c>
      <c r="M104" s="37">
        <f>M103/C5</f>
        <v>4977.9032258064517</v>
      </c>
      <c r="N104" s="37">
        <f>N103/C5</f>
        <v>2771.7741935483873</v>
      </c>
      <c r="O104" s="37">
        <f>O103/C5</f>
        <v>3060.516129032258</v>
      </c>
      <c r="P104" s="37">
        <f>P103/C5</f>
        <v>1638.5806451612902</v>
      </c>
      <c r="Q104" s="37">
        <f>Q103/31</f>
        <v>23018.096774193549</v>
      </c>
      <c r="R104" s="37">
        <v>22877.233333333334</v>
      </c>
      <c r="S104" s="38">
        <v>22902.451612903227</v>
      </c>
    </row>
    <row r="105" spans="1:19" s="15" customFormat="1" ht="25.5">
      <c r="A105" s="132"/>
      <c r="B105" s="11" t="s">
        <v>110</v>
      </c>
      <c r="C105" s="110"/>
      <c r="D105" s="13">
        <v>76.83</v>
      </c>
      <c r="E105" s="13">
        <v>70.31</v>
      </c>
      <c r="F105" s="13">
        <v>72.709999999999994</v>
      </c>
      <c r="G105" s="13">
        <v>0</v>
      </c>
      <c r="H105" s="13">
        <v>89.11</v>
      </c>
      <c r="I105" s="13">
        <v>0</v>
      </c>
      <c r="J105" s="13">
        <v>77.77</v>
      </c>
      <c r="K105" s="13">
        <v>90.56</v>
      </c>
      <c r="L105" s="13">
        <v>0</v>
      </c>
      <c r="M105" s="13">
        <v>77.41</v>
      </c>
      <c r="N105" s="13">
        <v>80.98</v>
      </c>
      <c r="O105" s="13">
        <v>82.01</v>
      </c>
      <c r="P105" s="13">
        <v>70.52</v>
      </c>
      <c r="Q105" s="133">
        <v>76.45</v>
      </c>
      <c r="R105" s="107">
        <v>72.91</v>
      </c>
      <c r="S105" s="179">
        <v>72.819999999999993</v>
      </c>
    </row>
    <row r="106" spans="1:19" s="21" customFormat="1" ht="17.25" customHeight="1">
      <c r="A106" s="81">
        <v>26</v>
      </c>
      <c r="B106" s="82" t="s">
        <v>111</v>
      </c>
      <c r="C106" s="112"/>
      <c r="D106" s="94">
        <f>SUM(D46/D100)</f>
        <v>3.4967071854260219</v>
      </c>
      <c r="E106" s="94">
        <f>SUM(E46/E100)</f>
        <v>3.8198923747117179</v>
      </c>
      <c r="F106" s="94">
        <f t="shared" ref="F106:O106" si="34">SUM(F46/F100)</f>
        <v>3.1058870990572713</v>
      </c>
      <c r="G106" s="94">
        <v>3.06</v>
      </c>
      <c r="H106" s="94">
        <f t="shared" si="34"/>
        <v>3.2103833530048989</v>
      </c>
      <c r="I106" s="94">
        <f t="shared" si="34"/>
        <v>3.1071390705071567</v>
      </c>
      <c r="J106" s="94">
        <f t="shared" si="34"/>
        <v>2.9826818088174702</v>
      </c>
      <c r="K106" s="94">
        <f t="shared" si="34"/>
        <v>3.96058009909166</v>
      </c>
      <c r="L106" s="94">
        <f t="shared" si="34"/>
        <v>3.7789095637635839</v>
      </c>
      <c r="M106" s="94">
        <f t="shared" si="34"/>
        <v>4.2661435056480279</v>
      </c>
      <c r="N106" s="94">
        <f t="shared" si="34"/>
        <v>4.0548009735416501</v>
      </c>
      <c r="O106" s="94">
        <f t="shared" si="34"/>
        <v>3.9840314354987041</v>
      </c>
      <c r="P106" s="94">
        <f>SUM(P46/P100)</f>
        <v>4.1588330632090758</v>
      </c>
      <c r="Q106" s="94">
        <f>SUM(Q46/Q100)</f>
        <v>3.3606771292251931</v>
      </c>
      <c r="R106" s="145">
        <v>3.3805019099491957</v>
      </c>
      <c r="S106" s="95">
        <v>3.3434738987510402</v>
      </c>
    </row>
    <row r="107" spans="1:19" s="21" customFormat="1" ht="19.5" customHeight="1">
      <c r="A107" s="16"/>
      <c r="B107" s="11" t="s">
        <v>112</v>
      </c>
      <c r="C107" s="115"/>
      <c r="D107" s="97">
        <f>SUM(D47/D103)</f>
        <v>2.720900579256075</v>
      </c>
      <c r="E107" s="97">
        <f>SUM(E47/E103)</f>
        <v>3.0319287363770555</v>
      </c>
      <c r="F107" s="97">
        <f>SUM(F47/F103)</f>
        <v>2.6299147649161396</v>
      </c>
      <c r="G107" s="97">
        <v>0</v>
      </c>
      <c r="H107" s="97">
        <f>SUM(H47/H103)</f>
        <v>2.7493571320526393</v>
      </c>
      <c r="I107" s="97">
        <v>0</v>
      </c>
      <c r="J107" s="97">
        <f>SUM(J47/J103)</f>
        <v>2.6055011999261586</v>
      </c>
      <c r="K107" s="97">
        <f t="shared" ref="K107:Q107" si="35">SUM(K47/K103)</f>
        <v>2.7601877934272299</v>
      </c>
      <c r="L107" s="97">
        <v>0</v>
      </c>
      <c r="M107" s="97">
        <f t="shared" si="35"/>
        <v>3.2180734212487443</v>
      </c>
      <c r="N107" s="97">
        <f t="shared" si="35"/>
        <v>2.6478556881000874</v>
      </c>
      <c r="O107" s="97">
        <f t="shared" si="35"/>
        <v>2.8052089042539734</v>
      </c>
      <c r="P107" s="97">
        <f>SUM(P47/P103)</f>
        <v>3.1272541144972044</v>
      </c>
      <c r="Q107" s="97">
        <f t="shared" si="35"/>
        <v>2.9401256514859977</v>
      </c>
      <c r="R107" s="90">
        <v>2.9598013745834653</v>
      </c>
      <c r="S107" s="98">
        <v>2.9706764735709377</v>
      </c>
    </row>
    <row r="108" spans="1:19" s="21" customFormat="1" ht="25.5">
      <c r="A108" s="28">
        <v>27</v>
      </c>
      <c r="B108" s="11" t="s">
        <v>113</v>
      </c>
      <c r="C108" s="135"/>
      <c r="D108" s="13">
        <v>1279</v>
      </c>
      <c r="E108" s="13">
        <v>569</v>
      </c>
      <c r="F108" s="13">
        <v>977</v>
      </c>
      <c r="G108" s="13">
        <v>677</v>
      </c>
      <c r="H108" s="13">
        <v>1241</v>
      </c>
      <c r="I108" s="13">
        <v>455</v>
      </c>
      <c r="J108" s="13">
        <v>641</v>
      </c>
      <c r="K108" s="13">
        <v>449</v>
      </c>
      <c r="L108" s="13">
        <v>679</v>
      </c>
      <c r="M108" s="13">
        <v>749</v>
      </c>
      <c r="N108" s="13">
        <v>665</v>
      </c>
      <c r="O108" s="13">
        <v>611</v>
      </c>
      <c r="P108" s="13">
        <v>405</v>
      </c>
      <c r="Q108" s="44">
        <f>SUM(D108:P108)</f>
        <v>9397</v>
      </c>
      <c r="R108" s="45">
        <v>9243</v>
      </c>
      <c r="S108" s="14">
        <v>8964</v>
      </c>
    </row>
    <row r="109" spans="1:19" s="21" customFormat="1" ht="25.5">
      <c r="A109" s="16"/>
      <c r="B109" s="11" t="s">
        <v>114</v>
      </c>
      <c r="C109" s="115"/>
      <c r="D109" s="136">
        <f t="shared" ref="D109:Q109" si="36">SUM(D108)/$C5</f>
        <v>41.258064516129032</v>
      </c>
      <c r="E109" s="136">
        <f t="shared" si="36"/>
        <v>18.35483870967742</v>
      </c>
      <c r="F109" s="136">
        <f t="shared" si="36"/>
        <v>31.516129032258064</v>
      </c>
      <c r="G109" s="136">
        <f t="shared" si="36"/>
        <v>21.838709677419356</v>
      </c>
      <c r="H109" s="136">
        <f t="shared" si="36"/>
        <v>40.032258064516128</v>
      </c>
      <c r="I109" s="136">
        <f t="shared" si="36"/>
        <v>14.67741935483871</v>
      </c>
      <c r="J109" s="136">
        <f t="shared" si="36"/>
        <v>20.677419354838708</v>
      </c>
      <c r="K109" s="136">
        <f t="shared" si="36"/>
        <v>14.483870967741936</v>
      </c>
      <c r="L109" s="136">
        <f t="shared" si="36"/>
        <v>21.903225806451612</v>
      </c>
      <c r="M109" s="136">
        <f t="shared" si="36"/>
        <v>24.161290322580644</v>
      </c>
      <c r="N109" s="136">
        <f t="shared" si="36"/>
        <v>21.451612903225808</v>
      </c>
      <c r="O109" s="136">
        <f t="shared" si="36"/>
        <v>19.70967741935484</v>
      </c>
      <c r="P109" s="136">
        <f t="shared" si="36"/>
        <v>13.064516129032258</v>
      </c>
      <c r="Q109" s="136">
        <f t="shared" si="36"/>
        <v>303.12903225806451</v>
      </c>
      <c r="R109" s="97">
        <v>308.10000000000002</v>
      </c>
      <c r="S109" s="180">
        <v>289.16129032258067</v>
      </c>
    </row>
    <row r="110" spans="1:19" s="21" customFormat="1">
      <c r="A110" s="16">
        <v>28</v>
      </c>
      <c r="B110" s="17" t="s">
        <v>115</v>
      </c>
      <c r="C110" s="109"/>
      <c r="D110" s="136">
        <f t="shared" ref="D110:Q110" si="37">SUM(D48/D108)</f>
        <v>486.40031274433153</v>
      </c>
      <c r="E110" s="136">
        <f t="shared" si="37"/>
        <v>1219.4288224956063</v>
      </c>
      <c r="F110" s="136">
        <f t="shared" si="37"/>
        <v>576.44012282497442</v>
      </c>
      <c r="G110" s="136">
        <f t="shared" si="37"/>
        <v>769.16838995568685</v>
      </c>
      <c r="H110" s="136">
        <f t="shared" si="37"/>
        <v>538.58259468170831</v>
      </c>
      <c r="I110" s="136">
        <f t="shared" si="37"/>
        <v>772.89230769230767</v>
      </c>
      <c r="J110" s="136">
        <f t="shared" si="37"/>
        <v>744.78627145085807</v>
      </c>
      <c r="K110" s="136">
        <f t="shared" si="37"/>
        <v>1018.2427616926503</v>
      </c>
      <c r="L110" s="136">
        <f t="shared" si="37"/>
        <v>539.27098674521358</v>
      </c>
      <c r="M110" s="136">
        <f t="shared" si="37"/>
        <v>824.87049399198929</v>
      </c>
      <c r="N110" s="136">
        <f t="shared" si="37"/>
        <v>419.793984962406</v>
      </c>
      <c r="O110" s="136">
        <f t="shared" si="37"/>
        <v>513.58428805237315</v>
      </c>
      <c r="P110" s="136">
        <f t="shared" si="37"/>
        <v>658.3308641975309</v>
      </c>
      <c r="Q110" s="136">
        <f t="shared" si="37"/>
        <v>659.58241992125147</v>
      </c>
      <c r="R110" s="145">
        <v>649.18965703775825</v>
      </c>
      <c r="S110" s="180">
        <v>684.38107987505578</v>
      </c>
    </row>
    <row r="111" spans="1:19" s="21" customFormat="1" ht="25.5">
      <c r="A111" s="16">
        <v>29</v>
      </c>
      <c r="B111" s="17" t="s">
        <v>116</v>
      </c>
      <c r="C111" s="109"/>
      <c r="D111" s="13">
        <v>12</v>
      </c>
      <c r="E111" s="13">
        <v>23</v>
      </c>
      <c r="F111" s="13">
        <v>9</v>
      </c>
      <c r="G111" s="13">
        <v>13</v>
      </c>
      <c r="H111" s="13">
        <v>6</v>
      </c>
      <c r="I111" s="13">
        <v>4</v>
      </c>
      <c r="J111" s="13">
        <v>10</v>
      </c>
      <c r="K111" s="13">
        <v>14</v>
      </c>
      <c r="L111" s="13">
        <v>13</v>
      </c>
      <c r="M111" s="13">
        <v>6</v>
      </c>
      <c r="N111" s="13">
        <v>3</v>
      </c>
      <c r="O111" s="13">
        <v>9</v>
      </c>
      <c r="P111" s="13">
        <v>12</v>
      </c>
      <c r="Q111" s="137">
        <f>SUM(D111:P111)</f>
        <v>134</v>
      </c>
      <c r="R111" s="185">
        <v>103</v>
      </c>
      <c r="S111" s="181">
        <v>199</v>
      </c>
    </row>
    <row r="112" spans="1:19" s="21" customFormat="1">
      <c r="A112" s="16">
        <v>30</v>
      </c>
      <c r="B112" s="17" t="s">
        <v>117</v>
      </c>
      <c r="C112" s="115"/>
      <c r="D112" s="36">
        <v>45901.916666666664</v>
      </c>
      <c r="E112" s="36">
        <v>47150.913043478264</v>
      </c>
      <c r="F112" s="36">
        <v>54850.111111111109</v>
      </c>
      <c r="G112" s="36">
        <v>44691.230769230766</v>
      </c>
      <c r="H112" s="36">
        <v>58529</v>
      </c>
      <c r="I112" s="36">
        <v>57057.5</v>
      </c>
      <c r="J112" s="36">
        <v>55965.2</v>
      </c>
      <c r="K112" s="36">
        <v>44437.285714285717</v>
      </c>
      <c r="L112" s="36">
        <v>43549</v>
      </c>
      <c r="M112" s="36">
        <v>52296</v>
      </c>
      <c r="N112" s="36">
        <v>68113.333333333328</v>
      </c>
      <c r="O112" s="36">
        <v>58162</v>
      </c>
      <c r="P112" s="36">
        <v>44988.916666666664</v>
      </c>
      <c r="Q112" s="138">
        <v>49393.186567164179</v>
      </c>
      <c r="R112" s="136">
        <v>47169.65048543689</v>
      </c>
      <c r="S112" s="116">
        <v>47326</v>
      </c>
    </row>
    <row r="113" spans="1:19" s="21" customFormat="1" ht="25.5">
      <c r="A113" s="77">
        <v>31</v>
      </c>
      <c r="B113" s="78" t="s">
        <v>118</v>
      </c>
      <c r="C113" s="110"/>
      <c r="D113" s="13">
        <v>11</v>
      </c>
      <c r="E113" s="13">
        <v>22</v>
      </c>
      <c r="F113" s="13">
        <v>8</v>
      </c>
      <c r="G113" s="13">
        <v>15</v>
      </c>
      <c r="H113" s="13">
        <v>10</v>
      </c>
      <c r="I113" s="13">
        <v>8</v>
      </c>
      <c r="J113" s="13">
        <v>21</v>
      </c>
      <c r="K113" s="13">
        <v>15</v>
      </c>
      <c r="L113" s="13">
        <v>13</v>
      </c>
      <c r="M113" s="13">
        <v>4</v>
      </c>
      <c r="N113" s="13">
        <v>6</v>
      </c>
      <c r="O113" s="13">
        <v>9</v>
      </c>
      <c r="P113" s="13">
        <v>9</v>
      </c>
      <c r="Q113" s="137">
        <f>SUM(D113:P113)</f>
        <v>151</v>
      </c>
      <c r="R113" s="137">
        <v>132</v>
      </c>
      <c r="S113" s="181">
        <v>286</v>
      </c>
    </row>
    <row r="114" spans="1:19" s="15" customFormat="1" ht="25.5">
      <c r="A114" s="51">
        <v>32</v>
      </c>
      <c r="B114" s="40" t="s">
        <v>119</v>
      </c>
      <c r="C114" s="139"/>
      <c r="D114" s="187">
        <v>40664.727272727272</v>
      </c>
      <c r="E114" s="187">
        <v>44792.090909090912</v>
      </c>
      <c r="F114" s="187">
        <v>46690.625</v>
      </c>
      <c r="G114" s="187">
        <v>40759.066666666666</v>
      </c>
      <c r="H114" s="187">
        <v>43662.9</v>
      </c>
      <c r="I114" s="187">
        <v>42742.75</v>
      </c>
      <c r="J114" s="187">
        <v>43722.428571428572</v>
      </c>
      <c r="K114" s="187">
        <v>38761.933333333334</v>
      </c>
      <c r="L114" s="187">
        <v>40264.384615384617</v>
      </c>
      <c r="M114" s="187">
        <v>50926.5</v>
      </c>
      <c r="N114" s="187">
        <v>48297.166666666664</v>
      </c>
      <c r="O114" s="187">
        <v>23450.222222222223</v>
      </c>
      <c r="P114" s="187">
        <v>41401.777777777781</v>
      </c>
      <c r="Q114" s="187">
        <v>41698.105960264904</v>
      </c>
      <c r="R114" s="59">
        <v>41016.007575757576</v>
      </c>
      <c r="S114" s="60">
        <v>36911</v>
      </c>
    </row>
    <row r="115" spans="1:19" s="15" customFormat="1">
      <c r="A115" s="665" t="s">
        <v>120</v>
      </c>
      <c r="B115" s="666"/>
      <c r="C115" s="126"/>
      <c r="D115" s="13"/>
      <c r="E115" s="13"/>
      <c r="F115" s="13"/>
      <c r="G115" s="13"/>
      <c r="H115" s="13"/>
      <c r="I115" s="13"/>
      <c r="J115" s="13" t="s">
        <v>121</v>
      </c>
      <c r="K115" s="13"/>
      <c r="L115" s="13"/>
      <c r="M115" s="13"/>
      <c r="N115" s="13"/>
      <c r="O115" s="13"/>
      <c r="P115" s="13"/>
      <c r="Q115" s="13"/>
      <c r="R115" s="127"/>
      <c r="S115" s="58"/>
    </row>
    <row r="116" spans="1:19" s="21" customFormat="1">
      <c r="A116" s="16">
        <v>33</v>
      </c>
      <c r="B116" s="66" t="s">
        <v>122</v>
      </c>
      <c r="C116" s="141" t="s">
        <v>123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97"/>
      <c r="R116" s="37"/>
      <c r="S116" s="98"/>
    </row>
    <row r="117" spans="1:19" s="21" customFormat="1" ht="20.100000000000001" customHeight="1">
      <c r="A117" s="16"/>
      <c r="B117" s="17" t="s">
        <v>124</v>
      </c>
      <c r="C117" s="142">
        <v>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3" t="s">
        <v>72</v>
      </c>
      <c r="N117" s="63" t="s">
        <v>72</v>
      </c>
      <c r="O117" s="63" t="s">
        <v>72</v>
      </c>
      <c r="P117" s="63" t="s">
        <v>72</v>
      </c>
      <c r="Q117" s="97">
        <v>0.48</v>
      </c>
      <c r="R117" s="13">
        <v>0.48</v>
      </c>
      <c r="S117" s="98">
        <v>0.5</v>
      </c>
    </row>
    <row r="118" spans="1:19" s="21" customFormat="1" ht="20.100000000000001" customHeight="1">
      <c r="A118" s="16"/>
      <c r="B118" s="17" t="s">
        <v>125</v>
      </c>
      <c r="C118" s="142">
        <v>6.5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3" t="s">
        <v>72</v>
      </c>
      <c r="N118" s="63" t="s">
        <v>72</v>
      </c>
      <c r="O118" s="63" t="s">
        <v>72</v>
      </c>
      <c r="P118" s="63" t="s">
        <v>72</v>
      </c>
      <c r="Q118" s="97">
        <v>5.0999999999999996</v>
      </c>
      <c r="R118" s="97">
        <v>5.07</v>
      </c>
      <c r="S118" s="98">
        <v>4.9800000000000004</v>
      </c>
    </row>
    <row r="119" spans="1:19" s="21" customFormat="1" ht="20.100000000000001" customHeight="1">
      <c r="A119" s="16"/>
      <c r="B119" s="17" t="s">
        <v>126</v>
      </c>
      <c r="C119" s="143">
        <v>1.5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97">
        <v>1.03</v>
      </c>
      <c r="R119" s="97">
        <v>1.02</v>
      </c>
      <c r="S119" s="98">
        <v>0.97</v>
      </c>
    </row>
    <row r="120" spans="1:19" s="21" customFormat="1" ht="20.100000000000001" customHeight="1">
      <c r="A120" s="77"/>
      <c r="B120" s="66" t="s">
        <v>127</v>
      </c>
      <c r="C120" s="144">
        <f>SUM(C117:C119)</f>
        <v>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3" t="s">
        <v>72</v>
      </c>
      <c r="N120" s="63" t="s">
        <v>72</v>
      </c>
      <c r="O120" s="63" t="s">
        <v>72</v>
      </c>
      <c r="P120" s="63" t="s">
        <v>72</v>
      </c>
      <c r="Q120" s="97">
        <f>SUM(Q117:Q119)</f>
        <v>6.61</v>
      </c>
      <c r="R120" s="97">
        <v>6.57</v>
      </c>
      <c r="S120" s="98">
        <v>6.45</v>
      </c>
    </row>
    <row r="121" spans="1:19" s="21" customFormat="1" ht="38.25">
      <c r="A121" s="28">
        <v>34</v>
      </c>
      <c r="B121" s="11" t="s">
        <v>128</v>
      </c>
      <c r="C121" s="126"/>
      <c r="D121" s="44" t="s">
        <v>72</v>
      </c>
      <c r="E121" s="44" t="s">
        <v>72</v>
      </c>
      <c r="F121" s="44" t="s">
        <v>72</v>
      </c>
      <c r="G121" s="44" t="s">
        <v>72</v>
      </c>
      <c r="H121" s="44" t="s">
        <v>72</v>
      </c>
      <c r="I121" s="44" t="s">
        <v>72</v>
      </c>
      <c r="J121" s="44" t="s">
        <v>72</v>
      </c>
      <c r="K121" s="44" t="s">
        <v>72</v>
      </c>
      <c r="L121" s="44" t="s">
        <v>72</v>
      </c>
      <c r="M121" s="44" t="s">
        <v>72</v>
      </c>
      <c r="N121" s="44" t="s">
        <v>72</v>
      </c>
      <c r="O121" s="44" t="s">
        <v>72</v>
      </c>
      <c r="P121" s="44" t="s">
        <v>72</v>
      </c>
      <c r="Q121" s="145">
        <v>1164.6099999999999</v>
      </c>
      <c r="R121" s="97">
        <v>1075.24</v>
      </c>
      <c r="S121" s="140">
        <v>1077.02</v>
      </c>
    </row>
    <row r="122" spans="1:19" s="21" customFormat="1" ht="25.5">
      <c r="A122" s="39">
        <v>35</v>
      </c>
      <c r="B122" s="40" t="s">
        <v>129</v>
      </c>
      <c r="C122" s="146">
        <v>97</v>
      </c>
      <c r="D122" s="13">
        <v>168</v>
      </c>
      <c r="E122" s="13">
        <v>281</v>
      </c>
      <c r="F122" s="13">
        <v>100</v>
      </c>
      <c r="G122" s="13">
        <v>140</v>
      </c>
      <c r="H122" s="13">
        <v>186</v>
      </c>
      <c r="I122" s="13">
        <v>97</v>
      </c>
      <c r="J122" s="13">
        <v>139</v>
      </c>
      <c r="K122" s="13">
        <v>344</v>
      </c>
      <c r="L122" s="13">
        <v>65</v>
      </c>
      <c r="M122" s="13">
        <v>138</v>
      </c>
      <c r="N122" s="13">
        <v>113</v>
      </c>
      <c r="O122" s="13">
        <v>55</v>
      </c>
      <c r="P122" s="13">
        <v>44</v>
      </c>
      <c r="Q122" s="147">
        <f>SUM(C122:P122)</f>
        <v>1967</v>
      </c>
      <c r="R122" s="59">
        <v>2091</v>
      </c>
      <c r="S122" s="60">
        <v>3876</v>
      </c>
    </row>
    <row r="123" spans="1:19" s="21" customFormat="1" ht="38.25">
      <c r="A123" s="81">
        <v>36</v>
      </c>
      <c r="B123" s="82" t="s">
        <v>130</v>
      </c>
      <c r="C123" s="148"/>
      <c r="D123" s="113" t="s">
        <v>72</v>
      </c>
      <c r="E123" s="113" t="s">
        <v>72</v>
      </c>
      <c r="F123" s="113" t="s">
        <v>72</v>
      </c>
      <c r="G123" s="113" t="s">
        <v>72</v>
      </c>
      <c r="H123" s="113" t="s">
        <v>72</v>
      </c>
      <c r="I123" s="113" t="s">
        <v>72</v>
      </c>
      <c r="J123" s="113" t="s">
        <v>72</v>
      </c>
      <c r="K123" s="113" t="s">
        <v>72</v>
      </c>
      <c r="L123" s="113" t="s">
        <v>72</v>
      </c>
      <c r="M123" s="113" t="s">
        <v>72</v>
      </c>
      <c r="N123" s="113" t="s">
        <v>72</v>
      </c>
      <c r="O123" s="113" t="s">
        <v>72</v>
      </c>
      <c r="P123" s="113" t="s">
        <v>72</v>
      </c>
      <c r="Q123" s="113">
        <v>1292</v>
      </c>
      <c r="R123" s="45">
        <v>1281</v>
      </c>
      <c r="S123" s="182">
        <v>1868</v>
      </c>
    </row>
    <row r="124" spans="1:19" s="21" customFormat="1">
      <c r="A124" s="28">
        <v>37</v>
      </c>
      <c r="B124" s="11" t="s">
        <v>131</v>
      </c>
      <c r="C124" s="29"/>
      <c r="D124" s="44" t="s">
        <v>72</v>
      </c>
      <c r="E124" s="44" t="s">
        <v>72</v>
      </c>
      <c r="F124" s="44" t="s">
        <v>72</v>
      </c>
      <c r="G124" s="44" t="s">
        <v>72</v>
      </c>
      <c r="H124" s="44" t="s">
        <v>72</v>
      </c>
      <c r="I124" s="44" t="s">
        <v>72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44" t="s">
        <v>72</v>
      </c>
      <c r="O124" s="44" t="s">
        <v>72</v>
      </c>
      <c r="P124" s="44" t="s">
        <v>72</v>
      </c>
      <c r="Q124" s="44">
        <v>311</v>
      </c>
      <c r="R124" s="167">
        <v>320</v>
      </c>
      <c r="S124" s="14">
        <v>318</v>
      </c>
    </row>
    <row r="125" spans="1:19" s="15" customFormat="1" ht="15" thickBot="1">
      <c r="A125" s="101"/>
      <c r="B125" s="71" t="s">
        <v>132</v>
      </c>
      <c r="C125" s="102"/>
      <c r="D125" s="150" t="s">
        <v>72</v>
      </c>
      <c r="E125" s="150" t="s">
        <v>72</v>
      </c>
      <c r="F125" s="150" t="s">
        <v>72</v>
      </c>
      <c r="G125" s="150" t="s">
        <v>72</v>
      </c>
      <c r="H125" s="150" t="s">
        <v>72</v>
      </c>
      <c r="I125" s="150" t="s">
        <v>72</v>
      </c>
      <c r="J125" s="150" t="s">
        <v>72</v>
      </c>
      <c r="K125" s="150" t="s">
        <v>72</v>
      </c>
      <c r="L125" s="150" t="s">
        <v>72</v>
      </c>
      <c r="M125" s="150" t="s">
        <v>72</v>
      </c>
      <c r="N125" s="150" t="s">
        <v>72</v>
      </c>
      <c r="O125" s="150" t="s">
        <v>72</v>
      </c>
      <c r="P125" s="150" t="s">
        <v>72</v>
      </c>
      <c r="Q125" s="151">
        <v>21.78</v>
      </c>
      <c r="R125" s="124">
        <v>21.54</v>
      </c>
      <c r="S125" s="152">
        <v>21.47</v>
      </c>
    </row>
    <row r="126" spans="1:19" s="15" customFormat="1" ht="21.95" customHeight="1" thickTop="1">
      <c r="A126" s="10">
        <v>38</v>
      </c>
      <c r="B126" s="11" t="s">
        <v>133</v>
      </c>
      <c r="C126" s="35"/>
      <c r="D126" s="13" t="s">
        <v>72</v>
      </c>
      <c r="E126" s="13" t="s">
        <v>72</v>
      </c>
      <c r="F126" s="13" t="s">
        <v>72</v>
      </c>
      <c r="G126" s="13" t="s">
        <v>72</v>
      </c>
      <c r="H126" s="13" t="s">
        <v>72</v>
      </c>
      <c r="I126" s="13" t="s">
        <v>72</v>
      </c>
      <c r="J126" s="13" t="s">
        <v>72</v>
      </c>
      <c r="K126" s="13" t="s">
        <v>72</v>
      </c>
      <c r="L126" s="13" t="s">
        <v>72</v>
      </c>
      <c r="M126" s="13" t="s">
        <v>72</v>
      </c>
      <c r="N126" s="13" t="s">
        <v>72</v>
      </c>
      <c r="O126" s="13" t="s">
        <v>72</v>
      </c>
      <c r="P126" s="13" t="s">
        <v>72</v>
      </c>
      <c r="Q126" s="36">
        <v>399870719</v>
      </c>
      <c r="R126" s="44">
        <v>388933473</v>
      </c>
      <c r="S126" s="49">
        <v>407211213</v>
      </c>
    </row>
    <row r="127" spans="1:19" s="21" customFormat="1" ht="21.95" customHeight="1">
      <c r="A127" s="16"/>
      <c r="B127" s="17" t="s">
        <v>134</v>
      </c>
      <c r="C127" s="18"/>
      <c r="D127" s="63" t="s">
        <v>72</v>
      </c>
      <c r="E127" s="63" t="s">
        <v>72</v>
      </c>
      <c r="F127" s="63" t="s">
        <v>72</v>
      </c>
      <c r="G127" s="63" t="s">
        <v>72</v>
      </c>
      <c r="H127" s="63" t="s">
        <v>72</v>
      </c>
      <c r="I127" s="63" t="s">
        <v>72</v>
      </c>
      <c r="J127" s="63" t="s">
        <v>72</v>
      </c>
      <c r="K127" s="63" t="s">
        <v>72</v>
      </c>
      <c r="L127" s="63" t="s">
        <v>72</v>
      </c>
      <c r="M127" s="63" t="s">
        <v>72</v>
      </c>
      <c r="N127" s="63" t="s">
        <v>72</v>
      </c>
      <c r="O127" s="63" t="s">
        <v>72</v>
      </c>
      <c r="P127" s="63" t="s">
        <v>72</v>
      </c>
      <c r="Q127" s="37">
        <f>Q126/31</f>
        <v>12899055.451612903</v>
      </c>
      <c r="R127" s="128">
        <v>12964449.1</v>
      </c>
      <c r="S127" s="38">
        <v>13135845.580645161</v>
      </c>
    </row>
    <row r="128" spans="1:19" s="15" customFormat="1" ht="21.95" customHeight="1">
      <c r="A128" s="88"/>
      <c r="B128" s="17" t="s">
        <v>135</v>
      </c>
      <c r="C128" s="89"/>
      <c r="D128" s="19" t="s">
        <v>72</v>
      </c>
      <c r="E128" s="19" t="s">
        <v>72</v>
      </c>
      <c r="F128" s="19" t="s">
        <v>72</v>
      </c>
      <c r="G128" s="19" t="s">
        <v>72</v>
      </c>
      <c r="H128" s="19" t="s">
        <v>72</v>
      </c>
      <c r="I128" s="19" t="s">
        <v>72</v>
      </c>
      <c r="J128" s="19" t="s">
        <v>72</v>
      </c>
      <c r="K128" s="19" t="s">
        <v>72</v>
      </c>
      <c r="L128" s="19" t="s">
        <v>72</v>
      </c>
      <c r="M128" s="19" t="s">
        <v>72</v>
      </c>
      <c r="N128" s="19" t="s">
        <v>72</v>
      </c>
      <c r="O128" s="19" t="s">
        <v>72</v>
      </c>
      <c r="P128" s="19" t="s">
        <v>72</v>
      </c>
      <c r="Q128" s="90">
        <f>SUM(Q127/Q130)</f>
        <v>13.410700496973433</v>
      </c>
      <c r="R128" s="100">
        <v>13.560259794866859</v>
      </c>
      <c r="S128" s="91">
        <v>14.205091205895313</v>
      </c>
    </row>
    <row r="129" spans="1:19" s="21" customFormat="1" ht="21.95" customHeight="1">
      <c r="A129" s="77"/>
      <c r="B129" s="78" t="s">
        <v>136</v>
      </c>
      <c r="C129" s="41"/>
      <c r="D129" s="100">
        <v>43.381207554242913</v>
      </c>
      <c r="E129" s="100">
        <v>43.460566403860824</v>
      </c>
      <c r="F129" s="100">
        <v>49.740639427607768</v>
      </c>
      <c r="G129" s="100">
        <v>53.129009124732335</v>
      </c>
      <c r="H129" s="100">
        <v>46.136343354864302</v>
      </c>
      <c r="I129" s="100">
        <v>47.44513440314708</v>
      </c>
      <c r="J129" s="100">
        <v>49.161254622089658</v>
      </c>
      <c r="K129" s="100">
        <v>38.246965387689002</v>
      </c>
      <c r="L129" s="100">
        <v>43.68574450569286</v>
      </c>
      <c r="M129" s="100">
        <v>37.227633048703048</v>
      </c>
      <c r="N129" s="100">
        <v>45.724163878489293</v>
      </c>
      <c r="O129" s="100">
        <v>46.352660584837899</v>
      </c>
      <c r="P129" s="100">
        <v>41.386322348702748</v>
      </c>
      <c r="Q129" s="107">
        <f>Q126/Q34</f>
        <v>44.849215742991923</v>
      </c>
      <c r="R129" s="107">
        <v>45.239241134877986</v>
      </c>
      <c r="S129" s="108">
        <v>46.773201760907419</v>
      </c>
    </row>
    <row r="130" spans="1:19" s="21" customFormat="1" ht="67.5" customHeight="1">
      <c r="A130" s="81">
        <v>39</v>
      </c>
      <c r="B130" s="82" t="s">
        <v>137</v>
      </c>
      <c r="C130" s="148"/>
      <c r="D130" s="113" t="s">
        <v>72</v>
      </c>
      <c r="E130" s="113" t="s">
        <v>72</v>
      </c>
      <c r="F130" s="113" t="s">
        <v>72</v>
      </c>
      <c r="G130" s="113" t="s">
        <v>72</v>
      </c>
      <c r="H130" s="113" t="s">
        <v>72</v>
      </c>
      <c r="I130" s="113" t="s">
        <v>72</v>
      </c>
      <c r="J130" s="113" t="s">
        <v>72</v>
      </c>
      <c r="K130" s="113" t="s">
        <v>72</v>
      </c>
      <c r="L130" s="113" t="s">
        <v>72</v>
      </c>
      <c r="M130" s="113" t="s">
        <v>72</v>
      </c>
      <c r="N130" s="113" t="s">
        <v>72</v>
      </c>
      <c r="O130" s="113" t="s">
        <v>72</v>
      </c>
      <c r="P130" s="113" t="s">
        <v>72</v>
      </c>
      <c r="Q130" s="45">
        <v>961848</v>
      </c>
      <c r="R130" s="36">
        <v>956062</v>
      </c>
      <c r="S130" s="46">
        <v>924728</v>
      </c>
    </row>
    <row r="131" spans="1:19" s="21" customFormat="1" ht="44.25" customHeight="1">
      <c r="A131" s="16"/>
      <c r="B131" s="17" t="s">
        <v>138</v>
      </c>
      <c r="C131" s="89"/>
      <c r="D131" s="63" t="s">
        <v>72</v>
      </c>
      <c r="E131" s="63" t="s">
        <v>72</v>
      </c>
      <c r="F131" s="63" t="s">
        <v>72</v>
      </c>
      <c r="G131" s="63" t="s">
        <v>72</v>
      </c>
      <c r="H131" s="63" t="s">
        <v>72</v>
      </c>
      <c r="I131" s="63" t="s">
        <v>72</v>
      </c>
      <c r="J131" s="63" t="s">
        <v>72</v>
      </c>
      <c r="K131" s="63" t="s">
        <v>72</v>
      </c>
      <c r="L131" s="63" t="s">
        <v>72</v>
      </c>
      <c r="M131" s="63" t="s">
        <v>72</v>
      </c>
      <c r="N131" s="63" t="s">
        <v>72</v>
      </c>
      <c r="O131" s="63" t="s">
        <v>72</v>
      </c>
      <c r="P131" s="63" t="s">
        <v>72</v>
      </c>
      <c r="Q131" s="37">
        <f>SUM(Q130-Q65)</f>
        <v>201433.93548387091</v>
      </c>
      <c r="R131" s="37">
        <v>202103.43333333323</v>
      </c>
      <c r="S131" s="38">
        <v>176391.87096774206</v>
      </c>
    </row>
    <row r="132" spans="1:19" s="21" customFormat="1" ht="33.75" customHeight="1">
      <c r="A132" s="16"/>
      <c r="B132" s="17" t="s">
        <v>139</v>
      </c>
      <c r="C132" s="89"/>
      <c r="D132" s="63" t="s">
        <v>72</v>
      </c>
      <c r="E132" s="63" t="s">
        <v>72</v>
      </c>
      <c r="F132" s="63" t="s">
        <v>72</v>
      </c>
      <c r="G132" s="63" t="s">
        <v>72</v>
      </c>
      <c r="H132" s="63" t="s">
        <v>72</v>
      </c>
      <c r="I132" s="63" t="s">
        <v>72</v>
      </c>
      <c r="J132" s="63" t="s">
        <v>72</v>
      </c>
      <c r="K132" s="63" t="s">
        <v>72</v>
      </c>
      <c r="L132" s="63" t="s">
        <v>72</v>
      </c>
      <c r="M132" s="63" t="s">
        <v>72</v>
      </c>
      <c r="N132" s="63" t="s">
        <v>72</v>
      </c>
      <c r="O132" s="63" t="s">
        <v>72</v>
      </c>
      <c r="P132" s="63" t="s">
        <v>72</v>
      </c>
      <c r="Q132" s="97">
        <f>SUM(Q131/Q130)*100</f>
        <v>20.942387516933124</v>
      </c>
      <c r="R132" s="145">
        <v>21.13915554988413</v>
      </c>
      <c r="S132" s="98">
        <v>19.075000537211164</v>
      </c>
    </row>
    <row r="133" spans="1:19" s="15" customFormat="1" ht="30.75" customHeight="1">
      <c r="A133" s="88"/>
      <c r="B133" s="17" t="s">
        <v>140</v>
      </c>
      <c r="C133" s="89"/>
      <c r="D133" s="63" t="s">
        <v>72</v>
      </c>
      <c r="E133" s="63" t="s">
        <v>72</v>
      </c>
      <c r="F133" s="63" t="s">
        <v>72</v>
      </c>
      <c r="G133" s="63" t="s">
        <v>72</v>
      </c>
      <c r="H133" s="63" t="s">
        <v>72</v>
      </c>
      <c r="I133" s="63" t="s">
        <v>72</v>
      </c>
      <c r="J133" s="63" t="s">
        <v>72</v>
      </c>
      <c r="K133" s="63" t="s">
        <v>72</v>
      </c>
      <c r="L133" s="63" t="s">
        <v>72</v>
      </c>
      <c r="M133" s="63" t="s">
        <v>72</v>
      </c>
      <c r="N133" s="63" t="s">
        <v>72</v>
      </c>
      <c r="O133" s="63" t="s">
        <v>72</v>
      </c>
      <c r="P133" s="63" t="s">
        <v>72</v>
      </c>
      <c r="Q133" s="90">
        <f>Q130/1322</f>
        <v>727.57034795763991</v>
      </c>
      <c r="R133" s="97">
        <v>705.58081180811803</v>
      </c>
      <c r="S133" s="91">
        <v>693.19940029985003</v>
      </c>
    </row>
    <row r="134" spans="1:19" s="15" customFormat="1" ht="36" customHeight="1" thickBot="1">
      <c r="A134" s="101"/>
      <c r="B134" s="71" t="s">
        <v>141</v>
      </c>
      <c r="C134" s="102"/>
      <c r="D134" s="124" t="s">
        <v>72</v>
      </c>
      <c r="E134" s="124" t="s">
        <v>72</v>
      </c>
      <c r="F134" s="124" t="s">
        <v>72</v>
      </c>
      <c r="G134" s="124" t="s">
        <v>72</v>
      </c>
      <c r="H134" s="124" t="s">
        <v>72</v>
      </c>
      <c r="I134" s="124" t="s">
        <v>72</v>
      </c>
      <c r="J134" s="124" t="s">
        <v>72</v>
      </c>
      <c r="K134" s="124" t="s">
        <v>72</v>
      </c>
      <c r="L134" s="124" t="s">
        <v>72</v>
      </c>
      <c r="M134" s="124" t="s">
        <v>72</v>
      </c>
      <c r="N134" s="124" t="s">
        <v>72</v>
      </c>
      <c r="O134" s="124" t="s">
        <v>72</v>
      </c>
      <c r="P134" s="124" t="s">
        <v>72</v>
      </c>
      <c r="Q134" s="151">
        <f>Q127/1322</f>
        <v>9757.2280269386556</v>
      </c>
      <c r="R134" s="73">
        <v>9567.8591143911435</v>
      </c>
      <c r="S134" s="152">
        <v>9846.9607051313051</v>
      </c>
    </row>
    <row r="135" spans="1:19" ht="13.5" thickTop="1">
      <c r="A135" s="153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S135" s="31"/>
    </row>
    <row r="136" spans="1:19" ht="12.75">
      <c r="A136" s="153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S136" s="31"/>
    </row>
    <row r="137" spans="1:19" ht="12.75">
      <c r="A137" s="153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S137" s="31"/>
    </row>
    <row r="138" spans="1:19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156"/>
      <c r="N138" s="155"/>
      <c r="O138" s="155"/>
      <c r="P138" s="155"/>
      <c r="Q138" s="158"/>
      <c r="R138" s="159"/>
      <c r="S138" s="31"/>
    </row>
    <row r="139" spans="1:19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156"/>
      <c r="N139" s="155"/>
      <c r="O139" s="155"/>
      <c r="P139" s="155"/>
      <c r="Q139" s="158"/>
      <c r="R139" s="159"/>
      <c r="S139" s="31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N140" s="155"/>
      <c r="O140" s="155"/>
      <c r="P140" s="155"/>
      <c r="Q140" s="155"/>
      <c r="R140" s="159"/>
      <c r="S140" s="31"/>
    </row>
    <row r="141" spans="1:19" s="161" customFormat="1" ht="16.5">
      <c r="A141" s="660" t="s">
        <v>160</v>
      </c>
      <c r="B141" s="660"/>
      <c r="C141" s="160"/>
      <c r="D141" s="160"/>
      <c r="E141" s="160"/>
      <c r="F141" s="160"/>
      <c r="G141" s="160"/>
      <c r="I141" s="162"/>
      <c r="J141" s="162"/>
      <c r="K141" s="162"/>
      <c r="L141" s="162"/>
      <c r="M141" s="661" t="s">
        <v>143</v>
      </c>
      <c r="N141" s="661"/>
      <c r="O141" s="661"/>
      <c r="P141" s="661"/>
      <c r="Q141" s="661"/>
      <c r="R141" s="661"/>
      <c r="S141" s="163"/>
    </row>
    <row r="142" spans="1:19" s="161" customFormat="1" ht="16.5">
      <c r="A142" s="660" t="s">
        <v>159</v>
      </c>
      <c r="B142" s="660"/>
      <c r="C142" s="160"/>
      <c r="D142" s="160"/>
      <c r="E142" s="160"/>
      <c r="F142" s="160"/>
      <c r="G142" s="160"/>
      <c r="I142" s="162"/>
      <c r="J142" s="162"/>
      <c r="K142" s="162"/>
      <c r="L142" s="162"/>
      <c r="M142" s="661" t="s">
        <v>144</v>
      </c>
      <c r="N142" s="661"/>
      <c r="O142" s="661"/>
      <c r="P142" s="661"/>
      <c r="Q142" s="661"/>
      <c r="R142" s="661"/>
    </row>
    <row r="143" spans="1:19">
      <c r="R143" s="164"/>
    </row>
    <row r="152" spans="4:17">
      <c r="D152" s="189" t="e">
        <f>D131*D36</f>
        <v>#VALUE!</v>
      </c>
      <c r="E152" s="189" t="e">
        <f t="shared" ref="E152:N152" si="38">E131*E36</f>
        <v>#VALUE!</v>
      </c>
      <c r="F152" s="189" t="e">
        <f t="shared" si="38"/>
        <v>#VALUE!</v>
      </c>
      <c r="G152" s="189" t="e">
        <f t="shared" si="38"/>
        <v>#VALUE!</v>
      </c>
      <c r="H152" s="189" t="e">
        <f t="shared" si="38"/>
        <v>#VALUE!</v>
      </c>
      <c r="I152" s="189" t="e">
        <f t="shared" si="38"/>
        <v>#VALUE!</v>
      </c>
      <c r="J152" s="189" t="e">
        <f t="shared" si="38"/>
        <v>#VALUE!</v>
      </c>
      <c r="K152" s="189" t="e">
        <f t="shared" si="38"/>
        <v>#VALUE!</v>
      </c>
      <c r="L152" s="189" t="e">
        <f t="shared" si="38"/>
        <v>#VALUE!</v>
      </c>
      <c r="M152" s="189" t="e">
        <f t="shared" si="38"/>
        <v>#VALUE!</v>
      </c>
      <c r="N152" s="189" t="e">
        <f t="shared" si="38"/>
        <v>#VALUE!</v>
      </c>
      <c r="O152" s="189" t="e">
        <f>O131*O36</f>
        <v>#VALUE!</v>
      </c>
      <c r="P152" s="189" t="e">
        <f>P131*P36</f>
        <v>#VALUE!</v>
      </c>
      <c r="Q152" s="189">
        <f>Q131*Q36</f>
        <v>43823215.374438174</v>
      </c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94488188976377963" right="0.15748031496062992" top="0.74803149606299213" bottom="0.74803149606299213" header="0.31496062992125984" footer="0.31496062992125984"/>
  <pageSetup paperSize="5" scale="78" orientation="landscape" verticalDpi="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4"/>
  <sheetViews>
    <sheetView zoomScaleSheetLayoutView="70" workbookViewId="0">
      <selection activeCell="M109" sqref="M109"/>
    </sheetView>
  </sheetViews>
  <sheetFormatPr defaultRowHeight="14.25"/>
  <cols>
    <col min="1" max="1" width="3.7109375" style="31" customWidth="1"/>
    <col min="2" max="2" width="27.28515625" style="154" customWidth="1"/>
    <col min="3" max="3" width="7.140625" style="31" customWidth="1"/>
    <col min="4" max="4" width="10.7109375" style="31" customWidth="1"/>
    <col min="5" max="5" width="10.42578125" style="31" customWidth="1"/>
    <col min="6" max="6" width="10.5703125" style="31" customWidth="1"/>
    <col min="7" max="7" width="10.42578125" style="31" customWidth="1"/>
    <col min="8" max="10" width="10.5703125" style="31" customWidth="1"/>
    <col min="11" max="13" width="10.42578125" style="31" customWidth="1"/>
    <col min="14" max="14" width="10.5703125" style="31" customWidth="1"/>
    <col min="15" max="15" width="10.28515625" style="31" customWidth="1"/>
    <col min="16" max="16" width="10.140625" style="31" customWidth="1"/>
    <col min="17" max="17" width="11.7109375" style="31" customWidth="1"/>
    <col min="18" max="18" width="13.28515625" style="31" customWidth="1"/>
    <col min="19" max="19" width="11.7109375" style="163" customWidth="1"/>
    <col min="20" max="254" width="9.140625" style="31"/>
    <col min="255" max="255" width="3.7109375" style="31" customWidth="1"/>
    <col min="256" max="256" width="30.42578125" style="31" customWidth="1"/>
    <col min="257" max="257" width="7.140625" style="31" customWidth="1"/>
    <col min="258" max="258" width="10.7109375" style="31" customWidth="1"/>
    <col min="259" max="259" width="10.42578125" style="31" customWidth="1"/>
    <col min="260" max="260" width="10.5703125" style="31" customWidth="1"/>
    <col min="261" max="261" width="10.42578125" style="31" customWidth="1"/>
    <col min="262" max="264" width="10.5703125" style="31" customWidth="1"/>
    <col min="265" max="267" width="10.42578125" style="31" customWidth="1"/>
    <col min="268" max="268" width="10.5703125" style="31" customWidth="1"/>
    <col min="269" max="269" width="10.28515625" style="31" customWidth="1"/>
    <col min="270" max="270" width="10.140625" style="31" customWidth="1"/>
    <col min="271" max="271" width="11.7109375" style="31" customWidth="1"/>
    <col min="272" max="272" width="12.42578125" style="31" customWidth="1"/>
    <col min="273" max="273" width="11.7109375" style="31" customWidth="1"/>
    <col min="274" max="274" width="13.140625" style="31" customWidth="1"/>
    <col min="275" max="510" width="9.140625" style="31"/>
    <col min="511" max="511" width="3.7109375" style="31" customWidth="1"/>
    <col min="512" max="512" width="30.42578125" style="31" customWidth="1"/>
    <col min="513" max="513" width="7.140625" style="31" customWidth="1"/>
    <col min="514" max="514" width="10.7109375" style="31" customWidth="1"/>
    <col min="515" max="515" width="10.42578125" style="31" customWidth="1"/>
    <col min="516" max="516" width="10.5703125" style="31" customWidth="1"/>
    <col min="517" max="517" width="10.42578125" style="31" customWidth="1"/>
    <col min="518" max="520" width="10.5703125" style="31" customWidth="1"/>
    <col min="521" max="523" width="10.42578125" style="31" customWidth="1"/>
    <col min="524" max="524" width="10.5703125" style="31" customWidth="1"/>
    <col min="525" max="525" width="10.28515625" style="31" customWidth="1"/>
    <col min="526" max="526" width="10.140625" style="31" customWidth="1"/>
    <col min="527" max="527" width="11.7109375" style="31" customWidth="1"/>
    <col min="528" max="528" width="12.42578125" style="31" customWidth="1"/>
    <col min="529" max="529" width="11.7109375" style="31" customWidth="1"/>
    <col min="530" max="530" width="13.140625" style="31" customWidth="1"/>
    <col min="531" max="766" width="9.140625" style="31"/>
    <col min="767" max="767" width="3.7109375" style="31" customWidth="1"/>
    <col min="768" max="768" width="30.42578125" style="31" customWidth="1"/>
    <col min="769" max="769" width="7.140625" style="31" customWidth="1"/>
    <col min="770" max="770" width="10.7109375" style="31" customWidth="1"/>
    <col min="771" max="771" width="10.42578125" style="31" customWidth="1"/>
    <col min="772" max="772" width="10.5703125" style="31" customWidth="1"/>
    <col min="773" max="773" width="10.42578125" style="31" customWidth="1"/>
    <col min="774" max="776" width="10.5703125" style="31" customWidth="1"/>
    <col min="777" max="779" width="10.42578125" style="31" customWidth="1"/>
    <col min="780" max="780" width="10.5703125" style="31" customWidth="1"/>
    <col min="781" max="781" width="10.28515625" style="31" customWidth="1"/>
    <col min="782" max="782" width="10.140625" style="31" customWidth="1"/>
    <col min="783" max="783" width="11.7109375" style="31" customWidth="1"/>
    <col min="784" max="784" width="12.42578125" style="31" customWidth="1"/>
    <col min="785" max="785" width="11.7109375" style="31" customWidth="1"/>
    <col min="786" max="786" width="13.140625" style="31" customWidth="1"/>
    <col min="787" max="1022" width="9.140625" style="31"/>
    <col min="1023" max="1023" width="3.7109375" style="31" customWidth="1"/>
    <col min="1024" max="1024" width="30.42578125" style="31" customWidth="1"/>
    <col min="1025" max="1025" width="7.140625" style="31" customWidth="1"/>
    <col min="1026" max="1026" width="10.7109375" style="31" customWidth="1"/>
    <col min="1027" max="1027" width="10.42578125" style="31" customWidth="1"/>
    <col min="1028" max="1028" width="10.5703125" style="31" customWidth="1"/>
    <col min="1029" max="1029" width="10.42578125" style="31" customWidth="1"/>
    <col min="1030" max="1032" width="10.5703125" style="31" customWidth="1"/>
    <col min="1033" max="1035" width="10.42578125" style="31" customWidth="1"/>
    <col min="1036" max="1036" width="10.5703125" style="31" customWidth="1"/>
    <col min="1037" max="1037" width="10.28515625" style="31" customWidth="1"/>
    <col min="1038" max="1038" width="10.140625" style="31" customWidth="1"/>
    <col min="1039" max="1039" width="11.7109375" style="31" customWidth="1"/>
    <col min="1040" max="1040" width="12.42578125" style="31" customWidth="1"/>
    <col min="1041" max="1041" width="11.7109375" style="31" customWidth="1"/>
    <col min="1042" max="1042" width="13.140625" style="31" customWidth="1"/>
    <col min="1043" max="1278" width="9.140625" style="31"/>
    <col min="1279" max="1279" width="3.7109375" style="31" customWidth="1"/>
    <col min="1280" max="1280" width="30.42578125" style="31" customWidth="1"/>
    <col min="1281" max="1281" width="7.140625" style="31" customWidth="1"/>
    <col min="1282" max="1282" width="10.7109375" style="31" customWidth="1"/>
    <col min="1283" max="1283" width="10.42578125" style="31" customWidth="1"/>
    <col min="1284" max="1284" width="10.5703125" style="31" customWidth="1"/>
    <col min="1285" max="1285" width="10.42578125" style="31" customWidth="1"/>
    <col min="1286" max="1288" width="10.5703125" style="31" customWidth="1"/>
    <col min="1289" max="1291" width="10.42578125" style="31" customWidth="1"/>
    <col min="1292" max="1292" width="10.5703125" style="31" customWidth="1"/>
    <col min="1293" max="1293" width="10.28515625" style="31" customWidth="1"/>
    <col min="1294" max="1294" width="10.140625" style="31" customWidth="1"/>
    <col min="1295" max="1295" width="11.7109375" style="31" customWidth="1"/>
    <col min="1296" max="1296" width="12.42578125" style="31" customWidth="1"/>
    <col min="1297" max="1297" width="11.7109375" style="31" customWidth="1"/>
    <col min="1298" max="1298" width="13.140625" style="31" customWidth="1"/>
    <col min="1299" max="1534" width="9.140625" style="31"/>
    <col min="1535" max="1535" width="3.7109375" style="31" customWidth="1"/>
    <col min="1536" max="1536" width="30.42578125" style="31" customWidth="1"/>
    <col min="1537" max="1537" width="7.140625" style="31" customWidth="1"/>
    <col min="1538" max="1538" width="10.7109375" style="31" customWidth="1"/>
    <col min="1539" max="1539" width="10.42578125" style="31" customWidth="1"/>
    <col min="1540" max="1540" width="10.5703125" style="31" customWidth="1"/>
    <col min="1541" max="1541" width="10.42578125" style="31" customWidth="1"/>
    <col min="1542" max="1544" width="10.5703125" style="31" customWidth="1"/>
    <col min="1545" max="1547" width="10.42578125" style="31" customWidth="1"/>
    <col min="1548" max="1548" width="10.5703125" style="31" customWidth="1"/>
    <col min="1549" max="1549" width="10.28515625" style="31" customWidth="1"/>
    <col min="1550" max="1550" width="10.140625" style="31" customWidth="1"/>
    <col min="1551" max="1551" width="11.7109375" style="31" customWidth="1"/>
    <col min="1552" max="1552" width="12.42578125" style="31" customWidth="1"/>
    <col min="1553" max="1553" width="11.7109375" style="31" customWidth="1"/>
    <col min="1554" max="1554" width="13.140625" style="31" customWidth="1"/>
    <col min="1555" max="1790" width="9.140625" style="31"/>
    <col min="1791" max="1791" width="3.7109375" style="31" customWidth="1"/>
    <col min="1792" max="1792" width="30.42578125" style="31" customWidth="1"/>
    <col min="1793" max="1793" width="7.140625" style="31" customWidth="1"/>
    <col min="1794" max="1794" width="10.7109375" style="31" customWidth="1"/>
    <col min="1795" max="1795" width="10.42578125" style="31" customWidth="1"/>
    <col min="1796" max="1796" width="10.5703125" style="31" customWidth="1"/>
    <col min="1797" max="1797" width="10.42578125" style="31" customWidth="1"/>
    <col min="1798" max="1800" width="10.5703125" style="31" customWidth="1"/>
    <col min="1801" max="1803" width="10.42578125" style="31" customWidth="1"/>
    <col min="1804" max="1804" width="10.5703125" style="31" customWidth="1"/>
    <col min="1805" max="1805" width="10.28515625" style="31" customWidth="1"/>
    <col min="1806" max="1806" width="10.140625" style="31" customWidth="1"/>
    <col min="1807" max="1807" width="11.7109375" style="31" customWidth="1"/>
    <col min="1808" max="1808" width="12.42578125" style="31" customWidth="1"/>
    <col min="1809" max="1809" width="11.7109375" style="31" customWidth="1"/>
    <col min="1810" max="1810" width="13.140625" style="31" customWidth="1"/>
    <col min="1811" max="2046" width="9.140625" style="31"/>
    <col min="2047" max="2047" width="3.7109375" style="31" customWidth="1"/>
    <col min="2048" max="2048" width="30.42578125" style="31" customWidth="1"/>
    <col min="2049" max="2049" width="7.140625" style="31" customWidth="1"/>
    <col min="2050" max="2050" width="10.7109375" style="31" customWidth="1"/>
    <col min="2051" max="2051" width="10.42578125" style="31" customWidth="1"/>
    <col min="2052" max="2052" width="10.5703125" style="31" customWidth="1"/>
    <col min="2053" max="2053" width="10.42578125" style="31" customWidth="1"/>
    <col min="2054" max="2056" width="10.5703125" style="31" customWidth="1"/>
    <col min="2057" max="2059" width="10.42578125" style="31" customWidth="1"/>
    <col min="2060" max="2060" width="10.5703125" style="31" customWidth="1"/>
    <col min="2061" max="2061" width="10.28515625" style="31" customWidth="1"/>
    <col min="2062" max="2062" width="10.140625" style="31" customWidth="1"/>
    <col min="2063" max="2063" width="11.7109375" style="31" customWidth="1"/>
    <col min="2064" max="2064" width="12.42578125" style="31" customWidth="1"/>
    <col min="2065" max="2065" width="11.7109375" style="31" customWidth="1"/>
    <col min="2066" max="2066" width="13.140625" style="31" customWidth="1"/>
    <col min="2067" max="2302" width="9.140625" style="31"/>
    <col min="2303" max="2303" width="3.7109375" style="31" customWidth="1"/>
    <col min="2304" max="2304" width="30.42578125" style="31" customWidth="1"/>
    <col min="2305" max="2305" width="7.140625" style="31" customWidth="1"/>
    <col min="2306" max="2306" width="10.7109375" style="31" customWidth="1"/>
    <col min="2307" max="2307" width="10.42578125" style="31" customWidth="1"/>
    <col min="2308" max="2308" width="10.5703125" style="31" customWidth="1"/>
    <col min="2309" max="2309" width="10.42578125" style="31" customWidth="1"/>
    <col min="2310" max="2312" width="10.5703125" style="31" customWidth="1"/>
    <col min="2313" max="2315" width="10.42578125" style="31" customWidth="1"/>
    <col min="2316" max="2316" width="10.5703125" style="31" customWidth="1"/>
    <col min="2317" max="2317" width="10.28515625" style="31" customWidth="1"/>
    <col min="2318" max="2318" width="10.140625" style="31" customWidth="1"/>
    <col min="2319" max="2319" width="11.7109375" style="31" customWidth="1"/>
    <col min="2320" max="2320" width="12.42578125" style="31" customWidth="1"/>
    <col min="2321" max="2321" width="11.7109375" style="31" customWidth="1"/>
    <col min="2322" max="2322" width="13.140625" style="31" customWidth="1"/>
    <col min="2323" max="2558" width="9.140625" style="31"/>
    <col min="2559" max="2559" width="3.7109375" style="31" customWidth="1"/>
    <col min="2560" max="2560" width="30.42578125" style="31" customWidth="1"/>
    <col min="2561" max="2561" width="7.140625" style="31" customWidth="1"/>
    <col min="2562" max="2562" width="10.7109375" style="31" customWidth="1"/>
    <col min="2563" max="2563" width="10.42578125" style="31" customWidth="1"/>
    <col min="2564" max="2564" width="10.5703125" style="31" customWidth="1"/>
    <col min="2565" max="2565" width="10.42578125" style="31" customWidth="1"/>
    <col min="2566" max="2568" width="10.5703125" style="31" customWidth="1"/>
    <col min="2569" max="2571" width="10.42578125" style="31" customWidth="1"/>
    <col min="2572" max="2572" width="10.5703125" style="31" customWidth="1"/>
    <col min="2573" max="2573" width="10.28515625" style="31" customWidth="1"/>
    <col min="2574" max="2574" width="10.140625" style="31" customWidth="1"/>
    <col min="2575" max="2575" width="11.7109375" style="31" customWidth="1"/>
    <col min="2576" max="2576" width="12.42578125" style="31" customWidth="1"/>
    <col min="2577" max="2577" width="11.7109375" style="31" customWidth="1"/>
    <col min="2578" max="2578" width="13.140625" style="31" customWidth="1"/>
    <col min="2579" max="2814" width="9.140625" style="31"/>
    <col min="2815" max="2815" width="3.7109375" style="31" customWidth="1"/>
    <col min="2816" max="2816" width="30.42578125" style="31" customWidth="1"/>
    <col min="2817" max="2817" width="7.140625" style="31" customWidth="1"/>
    <col min="2818" max="2818" width="10.7109375" style="31" customWidth="1"/>
    <col min="2819" max="2819" width="10.42578125" style="31" customWidth="1"/>
    <col min="2820" max="2820" width="10.5703125" style="31" customWidth="1"/>
    <col min="2821" max="2821" width="10.42578125" style="31" customWidth="1"/>
    <col min="2822" max="2824" width="10.5703125" style="31" customWidth="1"/>
    <col min="2825" max="2827" width="10.42578125" style="31" customWidth="1"/>
    <col min="2828" max="2828" width="10.5703125" style="31" customWidth="1"/>
    <col min="2829" max="2829" width="10.28515625" style="31" customWidth="1"/>
    <col min="2830" max="2830" width="10.140625" style="31" customWidth="1"/>
    <col min="2831" max="2831" width="11.7109375" style="31" customWidth="1"/>
    <col min="2832" max="2832" width="12.42578125" style="31" customWidth="1"/>
    <col min="2833" max="2833" width="11.7109375" style="31" customWidth="1"/>
    <col min="2834" max="2834" width="13.140625" style="31" customWidth="1"/>
    <col min="2835" max="3070" width="9.140625" style="31"/>
    <col min="3071" max="3071" width="3.7109375" style="31" customWidth="1"/>
    <col min="3072" max="3072" width="30.42578125" style="31" customWidth="1"/>
    <col min="3073" max="3073" width="7.140625" style="31" customWidth="1"/>
    <col min="3074" max="3074" width="10.7109375" style="31" customWidth="1"/>
    <col min="3075" max="3075" width="10.42578125" style="31" customWidth="1"/>
    <col min="3076" max="3076" width="10.5703125" style="31" customWidth="1"/>
    <col min="3077" max="3077" width="10.42578125" style="31" customWidth="1"/>
    <col min="3078" max="3080" width="10.5703125" style="31" customWidth="1"/>
    <col min="3081" max="3083" width="10.42578125" style="31" customWidth="1"/>
    <col min="3084" max="3084" width="10.5703125" style="31" customWidth="1"/>
    <col min="3085" max="3085" width="10.28515625" style="31" customWidth="1"/>
    <col min="3086" max="3086" width="10.140625" style="31" customWidth="1"/>
    <col min="3087" max="3087" width="11.7109375" style="31" customWidth="1"/>
    <col min="3088" max="3088" width="12.42578125" style="31" customWidth="1"/>
    <col min="3089" max="3089" width="11.7109375" style="31" customWidth="1"/>
    <col min="3090" max="3090" width="13.140625" style="31" customWidth="1"/>
    <col min="3091" max="3326" width="9.140625" style="31"/>
    <col min="3327" max="3327" width="3.7109375" style="31" customWidth="1"/>
    <col min="3328" max="3328" width="30.42578125" style="31" customWidth="1"/>
    <col min="3329" max="3329" width="7.140625" style="31" customWidth="1"/>
    <col min="3330" max="3330" width="10.7109375" style="31" customWidth="1"/>
    <col min="3331" max="3331" width="10.42578125" style="31" customWidth="1"/>
    <col min="3332" max="3332" width="10.5703125" style="31" customWidth="1"/>
    <col min="3333" max="3333" width="10.42578125" style="31" customWidth="1"/>
    <col min="3334" max="3336" width="10.5703125" style="31" customWidth="1"/>
    <col min="3337" max="3339" width="10.42578125" style="31" customWidth="1"/>
    <col min="3340" max="3340" width="10.5703125" style="31" customWidth="1"/>
    <col min="3341" max="3341" width="10.28515625" style="31" customWidth="1"/>
    <col min="3342" max="3342" width="10.140625" style="31" customWidth="1"/>
    <col min="3343" max="3343" width="11.7109375" style="31" customWidth="1"/>
    <col min="3344" max="3344" width="12.42578125" style="31" customWidth="1"/>
    <col min="3345" max="3345" width="11.7109375" style="31" customWidth="1"/>
    <col min="3346" max="3346" width="13.140625" style="31" customWidth="1"/>
    <col min="3347" max="3582" width="9.140625" style="31"/>
    <col min="3583" max="3583" width="3.7109375" style="31" customWidth="1"/>
    <col min="3584" max="3584" width="30.42578125" style="31" customWidth="1"/>
    <col min="3585" max="3585" width="7.140625" style="31" customWidth="1"/>
    <col min="3586" max="3586" width="10.7109375" style="31" customWidth="1"/>
    <col min="3587" max="3587" width="10.42578125" style="31" customWidth="1"/>
    <col min="3588" max="3588" width="10.5703125" style="31" customWidth="1"/>
    <col min="3589" max="3589" width="10.42578125" style="31" customWidth="1"/>
    <col min="3590" max="3592" width="10.5703125" style="31" customWidth="1"/>
    <col min="3593" max="3595" width="10.42578125" style="31" customWidth="1"/>
    <col min="3596" max="3596" width="10.5703125" style="31" customWidth="1"/>
    <col min="3597" max="3597" width="10.28515625" style="31" customWidth="1"/>
    <col min="3598" max="3598" width="10.140625" style="31" customWidth="1"/>
    <col min="3599" max="3599" width="11.7109375" style="31" customWidth="1"/>
    <col min="3600" max="3600" width="12.42578125" style="31" customWidth="1"/>
    <col min="3601" max="3601" width="11.7109375" style="31" customWidth="1"/>
    <col min="3602" max="3602" width="13.140625" style="31" customWidth="1"/>
    <col min="3603" max="3838" width="9.140625" style="31"/>
    <col min="3839" max="3839" width="3.7109375" style="31" customWidth="1"/>
    <col min="3840" max="3840" width="30.42578125" style="31" customWidth="1"/>
    <col min="3841" max="3841" width="7.140625" style="31" customWidth="1"/>
    <col min="3842" max="3842" width="10.7109375" style="31" customWidth="1"/>
    <col min="3843" max="3843" width="10.42578125" style="31" customWidth="1"/>
    <col min="3844" max="3844" width="10.5703125" style="31" customWidth="1"/>
    <col min="3845" max="3845" width="10.42578125" style="31" customWidth="1"/>
    <col min="3846" max="3848" width="10.5703125" style="31" customWidth="1"/>
    <col min="3849" max="3851" width="10.42578125" style="31" customWidth="1"/>
    <col min="3852" max="3852" width="10.5703125" style="31" customWidth="1"/>
    <col min="3853" max="3853" width="10.28515625" style="31" customWidth="1"/>
    <col min="3854" max="3854" width="10.140625" style="31" customWidth="1"/>
    <col min="3855" max="3855" width="11.7109375" style="31" customWidth="1"/>
    <col min="3856" max="3856" width="12.42578125" style="31" customWidth="1"/>
    <col min="3857" max="3857" width="11.7109375" style="31" customWidth="1"/>
    <col min="3858" max="3858" width="13.140625" style="31" customWidth="1"/>
    <col min="3859" max="4094" width="9.140625" style="31"/>
    <col min="4095" max="4095" width="3.7109375" style="31" customWidth="1"/>
    <col min="4096" max="4096" width="30.42578125" style="31" customWidth="1"/>
    <col min="4097" max="4097" width="7.140625" style="31" customWidth="1"/>
    <col min="4098" max="4098" width="10.7109375" style="31" customWidth="1"/>
    <col min="4099" max="4099" width="10.42578125" style="31" customWidth="1"/>
    <col min="4100" max="4100" width="10.5703125" style="31" customWidth="1"/>
    <col min="4101" max="4101" width="10.42578125" style="31" customWidth="1"/>
    <col min="4102" max="4104" width="10.5703125" style="31" customWidth="1"/>
    <col min="4105" max="4107" width="10.42578125" style="31" customWidth="1"/>
    <col min="4108" max="4108" width="10.5703125" style="31" customWidth="1"/>
    <col min="4109" max="4109" width="10.28515625" style="31" customWidth="1"/>
    <col min="4110" max="4110" width="10.140625" style="31" customWidth="1"/>
    <col min="4111" max="4111" width="11.7109375" style="31" customWidth="1"/>
    <col min="4112" max="4112" width="12.42578125" style="31" customWidth="1"/>
    <col min="4113" max="4113" width="11.7109375" style="31" customWidth="1"/>
    <col min="4114" max="4114" width="13.140625" style="31" customWidth="1"/>
    <col min="4115" max="4350" width="9.140625" style="31"/>
    <col min="4351" max="4351" width="3.7109375" style="31" customWidth="1"/>
    <col min="4352" max="4352" width="30.42578125" style="31" customWidth="1"/>
    <col min="4353" max="4353" width="7.140625" style="31" customWidth="1"/>
    <col min="4354" max="4354" width="10.7109375" style="31" customWidth="1"/>
    <col min="4355" max="4355" width="10.42578125" style="31" customWidth="1"/>
    <col min="4356" max="4356" width="10.5703125" style="31" customWidth="1"/>
    <col min="4357" max="4357" width="10.42578125" style="31" customWidth="1"/>
    <col min="4358" max="4360" width="10.5703125" style="31" customWidth="1"/>
    <col min="4361" max="4363" width="10.42578125" style="31" customWidth="1"/>
    <col min="4364" max="4364" width="10.5703125" style="31" customWidth="1"/>
    <col min="4365" max="4365" width="10.28515625" style="31" customWidth="1"/>
    <col min="4366" max="4366" width="10.140625" style="31" customWidth="1"/>
    <col min="4367" max="4367" width="11.7109375" style="31" customWidth="1"/>
    <col min="4368" max="4368" width="12.42578125" style="31" customWidth="1"/>
    <col min="4369" max="4369" width="11.7109375" style="31" customWidth="1"/>
    <col min="4370" max="4370" width="13.140625" style="31" customWidth="1"/>
    <col min="4371" max="4606" width="9.140625" style="31"/>
    <col min="4607" max="4607" width="3.7109375" style="31" customWidth="1"/>
    <col min="4608" max="4608" width="30.42578125" style="31" customWidth="1"/>
    <col min="4609" max="4609" width="7.140625" style="31" customWidth="1"/>
    <col min="4610" max="4610" width="10.7109375" style="31" customWidth="1"/>
    <col min="4611" max="4611" width="10.42578125" style="31" customWidth="1"/>
    <col min="4612" max="4612" width="10.5703125" style="31" customWidth="1"/>
    <col min="4613" max="4613" width="10.42578125" style="31" customWidth="1"/>
    <col min="4614" max="4616" width="10.5703125" style="31" customWidth="1"/>
    <col min="4617" max="4619" width="10.42578125" style="31" customWidth="1"/>
    <col min="4620" max="4620" width="10.5703125" style="31" customWidth="1"/>
    <col min="4621" max="4621" width="10.28515625" style="31" customWidth="1"/>
    <col min="4622" max="4622" width="10.140625" style="31" customWidth="1"/>
    <col min="4623" max="4623" width="11.7109375" style="31" customWidth="1"/>
    <col min="4624" max="4624" width="12.42578125" style="31" customWidth="1"/>
    <col min="4625" max="4625" width="11.7109375" style="31" customWidth="1"/>
    <col min="4626" max="4626" width="13.140625" style="31" customWidth="1"/>
    <col min="4627" max="4862" width="9.140625" style="31"/>
    <col min="4863" max="4863" width="3.7109375" style="31" customWidth="1"/>
    <col min="4864" max="4864" width="30.42578125" style="31" customWidth="1"/>
    <col min="4865" max="4865" width="7.140625" style="31" customWidth="1"/>
    <col min="4866" max="4866" width="10.7109375" style="31" customWidth="1"/>
    <col min="4867" max="4867" width="10.42578125" style="31" customWidth="1"/>
    <col min="4868" max="4868" width="10.5703125" style="31" customWidth="1"/>
    <col min="4869" max="4869" width="10.42578125" style="31" customWidth="1"/>
    <col min="4870" max="4872" width="10.5703125" style="31" customWidth="1"/>
    <col min="4873" max="4875" width="10.42578125" style="31" customWidth="1"/>
    <col min="4876" max="4876" width="10.5703125" style="31" customWidth="1"/>
    <col min="4877" max="4877" width="10.28515625" style="31" customWidth="1"/>
    <col min="4878" max="4878" width="10.140625" style="31" customWidth="1"/>
    <col min="4879" max="4879" width="11.7109375" style="31" customWidth="1"/>
    <col min="4880" max="4880" width="12.42578125" style="31" customWidth="1"/>
    <col min="4881" max="4881" width="11.7109375" style="31" customWidth="1"/>
    <col min="4882" max="4882" width="13.140625" style="31" customWidth="1"/>
    <col min="4883" max="5118" width="9.140625" style="31"/>
    <col min="5119" max="5119" width="3.7109375" style="31" customWidth="1"/>
    <col min="5120" max="5120" width="30.42578125" style="31" customWidth="1"/>
    <col min="5121" max="5121" width="7.140625" style="31" customWidth="1"/>
    <col min="5122" max="5122" width="10.7109375" style="31" customWidth="1"/>
    <col min="5123" max="5123" width="10.42578125" style="31" customWidth="1"/>
    <col min="5124" max="5124" width="10.5703125" style="31" customWidth="1"/>
    <col min="5125" max="5125" width="10.42578125" style="31" customWidth="1"/>
    <col min="5126" max="5128" width="10.5703125" style="31" customWidth="1"/>
    <col min="5129" max="5131" width="10.42578125" style="31" customWidth="1"/>
    <col min="5132" max="5132" width="10.5703125" style="31" customWidth="1"/>
    <col min="5133" max="5133" width="10.28515625" style="31" customWidth="1"/>
    <col min="5134" max="5134" width="10.140625" style="31" customWidth="1"/>
    <col min="5135" max="5135" width="11.7109375" style="31" customWidth="1"/>
    <col min="5136" max="5136" width="12.42578125" style="31" customWidth="1"/>
    <col min="5137" max="5137" width="11.7109375" style="31" customWidth="1"/>
    <col min="5138" max="5138" width="13.140625" style="31" customWidth="1"/>
    <col min="5139" max="5374" width="9.140625" style="31"/>
    <col min="5375" max="5375" width="3.7109375" style="31" customWidth="1"/>
    <col min="5376" max="5376" width="30.42578125" style="31" customWidth="1"/>
    <col min="5377" max="5377" width="7.140625" style="31" customWidth="1"/>
    <col min="5378" max="5378" width="10.7109375" style="31" customWidth="1"/>
    <col min="5379" max="5379" width="10.42578125" style="31" customWidth="1"/>
    <col min="5380" max="5380" width="10.5703125" style="31" customWidth="1"/>
    <col min="5381" max="5381" width="10.42578125" style="31" customWidth="1"/>
    <col min="5382" max="5384" width="10.5703125" style="31" customWidth="1"/>
    <col min="5385" max="5387" width="10.42578125" style="31" customWidth="1"/>
    <col min="5388" max="5388" width="10.5703125" style="31" customWidth="1"/>
    <col min="5389" max="5389" width="10.28515625" style="31" customWidth="1"/>
    <col min="5390" max="5390" width="10.140625" style="31" customWidth="1"/>
    <col min="5391" max="5391" width="11.7109375" style="31" customWidth="1"/>
    <col min="5392" max="5392" width="12.42578125" style="31" customWidth="1"/>
    <col min="5393" max="5393" width="11.7109375" style="31" customWidth="1"/>
    <col min="5394" max="5394" width="13.140625" style="31" customWidth="1"/>
    <col min="5395" max="5630" width="9.140625" style="31"/>
    <col min="5631" max="5631" width="3.7109375" style="31" customWidth="1"/>
    <col min="5632" max="5632" width="30.42578125" style="31" customWidth="1"/>
    <col min="5633" max="5633" width="7.140625" style="31" customWidth="1"/>
    <col min="5634" max="5634" width="10.7109375" style="31" customWidth="1"/>
    <col min="5635" max="5635" width="10.42578125" style="31" customWidth="1"/>
    <col min="5636" max="5636" width="10.5703125" style="31" customWidth="1"/>
    <col min="5637" max="5637" width="10.42578125" style="31" customWidth="1"/>
    <col min="5638" max="5640" width="10.5703125" style="31" customWidth="1"/>
    <col min="5641" max="5643" width="10.42578125" style="31" customWidth="1"/>
    <col min="5644" max="5644" width="10.5703125" style="31" customWidth="1"/>
    <col min="5645" max="5645" width="10.28515625" style="31" customWidth="1"/>
    <col min="5646" max="5646" width="10.140625" style="31" customWidth="1"/>
    <col min="5647" max="5647" width="11.7109375" style="31" customWidth="1"/>
    <col min="5648" max="5648" width="12.42578125" style="31" customWidth="1"/>
    <col min="5649" max="5649" width="11.7109375" style="31" customWidth="1"/>
    <col min="5650" max="5650" width="13.140625" style="31" customWidth="1"/>
    <col min="5651" max="5886" width="9.140625" style="31"/>
    <col min="5887" max="5887" width="3.7109375" style="31" customWidth="1"/>
    <col min="5888" max="5888" width="30.42578125" style="31" customWidth="1"/>
    <col min="5889" max="5889" width="7.140625" style="31" customWidth="1"/>
    <col min="5890" max="5890" width="10.7109375" style="31" customWidth="1"/>
    <col min="5891" max="5891" width="10.42578125" style="31" customWidth="1"/>
    <col min="5892" max="5892" width="10.5703125" style="31" customWidth="1"/>
    <col min="5893" max="5893" width="10.42578125" style="31" customWidth="1"/>
    <col min="5894" max="5896" width="10.5703125" style="31" customWidth="1"/>
    <col min="5897" max="5899" width="10.42578125" style="31" customWidth="1"/>
    <col min="5900" max="5900" width="10.5703125" style="31" customWidth="1"/>
    <col min="5901" max="5901" width="10.28515625" style="31" customWidth="1"/>
    <col min="5902" max="5902" width="10.140625" style="31" customWidth="1"/>
    <col min="5903" max="5903" width="11.7109375" style="31" customWidth="1"/>
    <col min="5904" max="5904" width="12.42578125" style="31" customWidth="1"/>
    <col min="5905" max="5905" width="11.7109375" style="31" customWidth="1"/>
    <col min="5906" max="5906" width="13.140625" style="31" customWidth="1"/>
    <col min="5907" max="6142" width="9.140625" style="31"/>
    <col min="6143" max="6143" width="3.7109375" style="31" customWidth="1"/>
    <col min="6144" max="6144" width="30.42578125" style="31" customWidth="1"/>
    <col min="6145" max="6145" width="7.140625" style="31" customWidth="1"/>
    <col min="6146" max="6146" width="10.7109375" style="31" customWidth="1"/>
    <col min="6147" max="6147" width="10.42578125" style="31" customWidth="1"/>
    <col min="6148" max="6148" width="10.5703125" style="31" customWidth="1"/>
    <col min="6149" max="6149" width="10.42578125" style="31" customWidth="1"/>
    <col min="6150" max="6152" width="10.5703125" style="31" customWidth="1"/>
    <col min="6153" max="6155" width="10.42578125" style="31" customWidth="1"/>
    <col min="6156" max="6156" width="10.5703125" style="31" customWidth="1"/>
    <col min="6157" max="6157" width="10.28515625" style="31" customWidth="1"/>
    <col min="6158" max="6158" width="10.140625" style="31" customWidth="1"/>
    <col min="6159" max="6159" width="11.7109375" style="31" customWidth="1"/>
    <col min="6160" max="6160" width="12.42578125" style="31" customWidth="1"/>
    <col min="6161" max="6161" width="11.7109375" style="31" customWidth="1"/>
    <col min="6162" max="6162" width="13.140625" style="31" customWidth="1"/>
    <col min="6163" max="6398" width="9.140625" style="31"/>
    <col min="6399" max="6399" width="3.7109375" style="31" customWidth="1"/>
    <col min="6400" max="6400" width="30.42578125" style="31" customWidth="1"/>
    <col min="6401" max="6401" width="7.140625" style="31" customWidth="1"/>
    <col min="6402" max="6402" width="10.7109375" style="31" customWidth="1"/>
    <col min="6403" max="6403" width="10.42578125" style="31" customWidth="1"/>
    <col min="6404" max="6404" width="10.5703125" style="31" customWidth="1"/>
    <col min="6405" max="6405" width="10.42578125" style="31" customWidth="1"/>
    <col min="6406" max="6408" width="10.5703125" style="31" customWidth="1"/>
    <col min="6409" max="6411" width="10.42578125" style="31" customWidth="1"/>
    <col min="6412" max="6412" width="10.5703125" style="31" customWidth="1"/>
    <col min="6413" max="6413" width="10.28515625" style="31" customWidth="1"/>
    <col min="6414" max="6414" width="10.140625" style="31" customWidth="1"/>
    <col min="6415" max="6415" width="11.7109375" style="31" customWidth="1"/>
    <col min="6416" max="6416" width="12.42578125" style="31" customWidth="1"/>
    <col min="6417" max="6417" width="11.7109375" style="31" customWidth="1"/>
    <col min="6418" max="6418" width="13.140625" style="31" customWidth="1"/>
    <col min="6419" max="6654" width="9.140625" style="31"/>
    <col min="6655" max="6655" width="3.7109375" style="31" customWidth="1"/>
    <col min="6656" max="6656" width="30.42578125" style="31" customWidth="1"/>
    <col min="6657" max="6657" width="7.140625" style="31" customWidth="1"/>
    <col min="6658" max="6658" width="10.7109375" style="31" customWidth="1"/>
    <col min="6659" max="6659" width="10.42578125" style="31" customWidth="1"/>
    <col min="6660" max="6660" width="10.5703125" style="31" customWidth="1"/>
    <col min="6661" max="6661" width="10.42578125" style="31" customWidth="1"/>
    <col min="6662" max="6664" width="10.5703125" style="31" customWidth="1"/>
    <col min="6665" max="6667" width="10.42578125" style="31" customWidth="1"/>
    <col min="6668" max="6668" width="10.5703125" style="31" customWidth="1"/>
    <col min="6669" max="6669" width="10.28515625" style="31" customWidth="1"/>
    <col min="6670" max="6670" width="10.140625" style="31" customWidth="1"/>
    <col min="6671" max="6671" width="11.7109375" style="31" customWidth="1"/>
    <col min="6672" max="6672" width="12.42578125" style="31" customWidth="1"/>
    <col min="6673" max="6673" width="11.7109375" style="31" customWidth="1"/>
    <col min="6674" max="6674" width="13.140625" style="31" customWidth="1"/>
    <col min="6675" max="6910" width="9.140625" style="31"/>
    <col min="6911" max="6911" width="3.7109375" style="31" customWidth="1"/>
    <col min="6912" max="6912" width="30.42578125" style="31" customWidth="1"/>
    <col min="6913" max="6913" width="7.140625" style="31" customWidth="1"/>
    <col min="6914" max="6914" width="10.7109375" style="31" customWidth="1"/>
    <col min="6915" max="6915" width="10.42578125" style="31" customWidth="1"/>
    <col min="6916" max="6916" width="10.5703125" style="31" customWidth="1"/>
    <col min="6917" max="6917" width="10.42578125" style="31" customWidth="1"/>
    <col min="6918" max="6920" width="10.5703125" style="31" customWidth="1"/>
    <col min="6921" max="6923" width="10.42578125" style="31" customWidth="1"/>
    <col min="6924" max="6924" width="10.5703125" style="31" customWidth="1"/>
    <col min="6925" max="6925" width="10.28515625" style="31" customWidth="1"/>
    <col min="6926" max="6926" width="10.140625" style="31" customWidth="1"/>
    <col min="6927" max="6927" width="11.7109375" style="31" customWidth="1"/>
    <col min="6928" max="6928" width="12.42578125" style="31" customWidth="1"/>
    <col min="6929" max="6929" width="11.7109375" style="31" customWidth="1"/>
    <col min="6930" max="6930" width="13.140625" style="31" customWidth="1"/>
    <col min="6931" max="7166" width="9.140625" style="31"/>
    <col min="7167" max="7167" width="3.7109375" style="31" customWidth="1"/>
    <col min="7168" max="7168" width="30.42578125" style="31" customWidth="1"/>
    <col min="7169" max="7169" width="7.140625" style="31" customWidth="1"/>
    <col min="7170" max="7170" width="10.7109375" style="31" customWidth="1"/>
    <col min="7171" max="7171" width="10.42578125" style="31" customWidth="1"/>
    <col min="7172" max="7172" width="10.5703125" style="31" customWidth="1"/>
    <col min="7173" max="7173" width="10.42578125" style="31" customWidth="1"/>
    <col min="7174" max="7176" width="10.5703125" style="31" customWidth="1"/>
    <col min="7177" max="7179" width="10.42578125" style="31" customWidth="1"/>
    <col min="7180" max="7180" width="10.5703125" style="31" customWidth="1"/>
    <col min="7181" max="7181" width="10.28515625" style="31" customWidth="1"/>
    <col min="7182" max="7182" width="10.140625" style="31" customWidth="1"/>
    <col min="7183" max="7183" width="11.7109375" style="31" customWidth="1"/>
    <col min="7184" max="7184" width="12.42578125" style="31" customWidth="1"/>
    <col min="7185" max="7185" width="11.7109375" style="31" customWidth="1"/>
    <col min="7186" max="7186" width="13.140625" style="31" customWidth="1"/>
    <col min="7187" max="7422" width="9.140625" style="31"/>
    <col min="7423" max="7423" width="3.7109375" style="31" customWidth="1"/>
    <col min="7424" max="7424" width="30.42578125" style="31" customWidth="1"/>
    <col min="7425" max="7425" width="7.140625" style="31" customWidth="1"/>
    <col min="7426" max="7426" width="10.7109375" style="31" customWidth="1"/>
    <col min="7427" max="7427" width="10.42578125" style="31" customWidth="1"/>
    <col min="7428" max="7428" width="10.5703125" style="31" customWidth="1"/>
    <col min="7429" max="7429" width="10.42578125" style="31" customWidth="1"/>
    <col min="7430" max="7432" width="10.5703125" style="31" customWidth="1"/>
    <col min="7433" max="7435" width="10.42578125" style="31" customWidth="1"/>
    <col min="7436" max="7436" width="10.5703125" style="31" customWidth="1"/>
    <col min="7437" max="7437" width="10.28515625" style="31" customWidth="1"/>
    <col min="7438" max="7438" width="10.140625" style="31" customWidth="1"/>
    <col min="7439" max="7439" width="11.7109375" style="31" customWidth="1"/>
    <col min="7440" max="7440" width="12.42578125" style="31" customWidth="1"/>
    <col min="7441" max="7441" width="11.7109375" style="31" customWidth="1"/>
    <col min="7442" max="7442" width="13.140625" style="31" customWidth="1"/>
    <col min="7443" max="7678" width="9.140625" style="31"/>
    <col min="7679" max="7679" width="3.7109375" style="31" customWidth="1"/>
    <col min="7680" max="7680" width="30.42578125" style="31" customWidth="1"/>
    <col min="7681" max="7681" width="7.140625" style="31" customWidth="1"/>
    <col min="7682" max="7682" width="10.7109375" style="31" customWidth="1"/>
    <col min="7683" max="7683" width="10.42578125" style="31" customWidth="1"/>
    <col min="7684" max="7684" width="10.5703125" style="31" customWidth="1"/>
    <col min="7685" max="7685" width="10.42578125" style="31" customWidth="1"/>
    <col min="7686" max="7688" width="10.5703125" style="31" customWidth="1"/>
    <col min="7689" max="7691" width="10.42578125" style="31" customWidth="1"/>
    <col min="7692" max="7692" width="10.5703125" style="31" customWidth="1"/>
    <col min="7693" max="7693" width="10.28515625" style="31" customWidth="1"/>
    <col min="7694" max="7694" width="10.140625" style="31" customWidth="1"/>
    <col min="7695" max="7695" width="11.7109375" style="31" customWidth="1"/>
    <col min="7696" max="7696" width="12.42578125" style="31" customWidth="1"/>
    <col min="7697" max="7697" width="11.7109375" style="31" customWidth="1"/>
    <col min="7698" max="7698" width="13.140625" style="31" customWidth="1"/>
    <col min="7699" max="7934" width="9.140625" style="31"/>
    <col min="7935" max="7935" width="3.7109375" style="31" customWidth="1"/>
    <col min="7936" max="7936" width="30.42578125" style="31" customWidth="1"/>
    <col min="7937" max="7937" width="7.140625" style="31" customWidth="1"/>
    <col min="7938" max="7938" width="10.7109375" style="31" customWidth="1"/>
    <col min="7939" max="7939" width="10.42578125" style="31" customWidth="1"/>
    <col min="7940" max="7940" width="10.5703125" style="31" customWidth="1"/>
    <col min="7941" max="7941" width="10.42578125" style="31" customWidth="1"/>
    <col min="7942" max="7944" width="10.5703125" style="31" customWidth="1"/>
    <col min="7945" max="7947" width="10.42578125" style="31" customWidth="1"/>
    <col min="7948" max="7948" width="10.5703125" style="31" customWidth="1"/>
    <col min="7949" max="7949" width="10.28515625" style="31" customWidth="1"/>
    <col min="7950" max="7950" width="10.140625" style="31" customWidth="1"/>
    <col min="7951" max="7951" width="11.7109375" style="31" customWidth="1"/>
    <col min="7952" max="7952" width="12.42578125" style="31" customWidth="1"/>
    <col min="7953" max="7953" width="11.7109375" style="31" customWidth="1"/>
    <col min="7954" max="7954" width="13.140625" style="31" customWidth="1"/>
    <col min="7955" max="8190" width="9.140625" style="31"/>
    <col min="8191" max="8191" width="3.7109375" style="31" customWidth="1"/>
    <col min="8192" max="8192" width="30.42578125" style="31" customWidth="1"/>
    <col min="8193" max="8193" width="7.140625" style="31" customWidth="1"/>
    <col min="8194" max="8194" width="10.7109375" style="31" customWidth="1"/>
    <col min="8195" max="8195" width="10.42578125" style="31" customWidth="1"/>
    <col min="8196" max="8196" width="10.5703125" style="31" customWidth="1"/>
    <col min="8197" max="8197" width="10.42578125" style="31" customWidth="1"/>
    <col min="8198" max="8200" width="10.5703125" style="31" customWidth="1"/>
    <col min="8201" max="8203" width="10.42578125" style="31" customWidth="1"/>
    <col min="8204" max="8204" width="10.5703125" style="31" customWidth="1"/>
    <col min="8205" max="8205" width="10.28515625" style="31" customWidth="1"/>
    <col min="8206" max="8206" width="10.140625" style="31" customWidth="1"/>
    <col min="8207" max="8207" width="11.7109375" style="31" customWidth="1"/>
    <col min="8208" max="8208" width="12.42578125" style="31" customWidth="1"/>
    <col min="8209" max="8209" width="11.7109375" style="31" customWidth="1"/>
    <col min="8210" max="8210" width="13.140625" style="31" customWidth="1"/>
    <col min="8211" max="8446" width="9.140625" style="31"/>
    <col min="8447" max="8447" width="3.7109375" style="31" customWidth="1"/>
    <col min="8448" max="8448" width="30.42578125" style="31" customWidth="1"/>
    <col min="8449" max="8449" width="7.140625" style="31" customWidth="1"/>
    <col min="8450" max="8450" width="10.7109375" style="31" customWidth="1"/>
    <col min="8451" max="8451" width="10.42578125" style="31" customWidth="1"/>
    <col min="8452" max="8452" width="10.5703125" style="31" customWidth="1"/>
    <col min="8453" max="8453" width="10.42578125" style="31" customWidth="1"/>
    <col min="8454" max="8456" width="10.5703125" style="31" customWidth="1"/>
    <col min="8457" max="8459" width="10.42578125" style="31" customWidth="1"/>
    <col min="8460" max="8460" width="10.5703125" style="31" customWidth="1"/>
    <col min="8461" max="8461" width="10.28515625" style="31" customWidth="1"/>
    <col min="8462" max="8462" width="10.140625" style="31" customWidth="1"/>
    <col min="8463" max="8463" width="11.7109375" style="31" customWidth="1"/>
    <col min="8464" max="8464" width="12.42578125" style="31" customWidth="1"/>
    <col min="8465" max="8465" width="11.7109375" style="31" customWidth="1"/>
    <col min="8466" max="8466" width="13.140625" style="31" customWidth="1"/>
    <col min="8467" max="8702" width="9.140625" style="31"/>
    <col min="8703" max="8703" width="3.7109375" style="31" customWidth="1"/>
    <col min="8704" max="8704" width="30.42578125" style="31" customWidth="1"/>
    <col min="8705" max="8705" width="7.140625" style="31" customWidth="1"/>
    <col min="8706" max="8706" width="10.7109375" style="31" customWidth="1"/>
    <col min="8707" max="8707" width="10.42578125" style="31" customWidth="1"/>
    <col min="8708" max="8708" width="10.5703125" style="31" customWidth="1"/>
    <col min="8709" max="8709" width="10.42578125" style="31" customWidth="1"/>
    <col min="8710" max="8712" width="10.5703125" style="31" customWidth="1"/>
    <col min="8713" max="8715" width="10.42578125" style="31" customWidth="1"/>
    <col min="8716" max="8716" width="10.5703125" style="31" customWidth="1"/>
    <col min="8717" max="8717" width="10.28515625" style="31" customWidth="1"/>
    <col min="8718" max="8718" width="10.140625" style="31" customWidth="1"/>
    <col min="8719" max="8719" width="11.7109375" style="31" customWidth="1"/>
    <col min="8720" max="8720" width="12.42578125" style="31" customWidth="1"/>
    <col min="8721" max="8721" width="11.7109375" style="31" customWidth="1"/>
    <col min="8722" max="8722" width="13.140625" style="31" customWidth="1"/>
    <col min="8723" max="8958" width="9.140625" style="31"/>
    <col min="8959" max="8959" width="3.7109375" style="31" customWidth="1"/>
    <col min="8960" max="8960" width="30.42578125" style="31" customWidth="1"/>
    <col min="8961" max="8961" width="7.140625" style="31" customWidth="1"/>
    <col min="8962" max="8962" width="10.7109375" style="31" customWidth="1"/>
    <col min="8963" max="8963" width="10.42578125" style="31" customWidth="1"/>
    <col min="8964" max="8964" width="10.5703125" style="31" customWidth="1"/>
    <col min="8965" max="8965" width="10.42578125" style="31" customWidth="1"/>
    <col min="8966" max="8968" width="10.5703125" style="31" customWidth="1"/>
    <col min="8969" max="8971" width="10.42578125" style="31" customWidth="1"/>
    <col min="8972" max="8972" width="10.5703125" style="31" customWidth="1"/>
    <col min="8973" max="8973" width="10.28515625" style="31" customWidth="1"/>
    <col min="8974" max="8974" width="10.140625" style="31" customWidth="1"/>
    <col min="8975" max="8975" width="11.7109375" style="31" customWidth="1"/>
    <col min="8976" max="8976" width="12.42578125" style="31" customWidth="1"/>
    <col min="8977" max="8977" width="11.7109375" style="31" customWidth="1"/>
    <col min="8978" max="8978" width="13.140625" style="31" customWidth="1"/>
    <col min="8979" max="9214" width="9.140625" style="31"/>
    <col min="9215" max="9215" width="3.7109375" style="31" customWidth="1"/>
    <col min="9216" max="9216" width="30.42578125" style="31" customWidth="1"/>
    <col min="9217" max="9217" width="7.140625" style="31" customWidth="1"/>
    <col min="9218" max="9218" width="10.7109375" style="31" customWidth="1"/>
    <col min="9219" max="9219" width="10.42578125" style="31" customWidth="1"/>
    <col min="9220" max="9220" width="10.5703125" style="31" customWidth="1"/>
    <col min="9221" max="9221" width="10.42578125" style="31" customWidth="1"/>
    <col min="9222" max="9224" width="10.5703125" style="31" customWidth="1"/>
    <col min="9225" max="9227" width="10.42578125" style="31" customWidth="1"/>
    <col min="9228" max="9228" width="10.5703125" style="31" customWidth="1"/>
    <col min="9229" max="9229" width="10.28515625" style="31" customWidth="1"/>
    <col min="9230" max="9230" width="10.140625" style="31" customWidth="1"/>
    <col min="9231" max="9231" width="11.7109375" style="31" customWidth="1"/>
    <col min="9232" max="9232" width="12.42578125" style="31" customWidth="1"/>
    <col min="9233" max="9233" width="11.7109375" style="31" customWidth="1"/>
    <col min="9234" max="9234" width="13.140625" style="31" customWidth="1"/>
    <col min="9235" max="9470" width="9.140625" style="31"/>
    <col min="9471" max="9471" width="3.7109375" style="31" customWidth="1"/>
    <col min="9472" max="9472" width="30.42578125" style="31" customWidth="1"/>
    <col min="9473" max="9473" width="7.140625" style="31" customWidth="1"/>
    <col min="9474" max="9474" width="10.7109375" style="31" customWidth="1"/>
    <col min="9475" max="9475" width="10.42578125" style="31" customWidth="1"/>
    <col min="9476" max="9476" width="10.5703125" style="31" customWidth="1"/>
    <col min="9477" max="9477" width="10.42578125" style="31" customWidth="1"/>
    <col min="9478" max="9480" width="10.5703125" style="31" customWidth="1"/>
    <col min="9481" max="9483" width="10.42578125" style="31" customWidth="1"/>
    <col min="9484" max="9484" width="10.5703125" style="31" customWidth="1"/>
    <col min="9485" max="9485" width="10.28515625" style="31" customWidth="1"/>
    <col min="9486" max="9486" width="10.140625" style="31" customWidth="1"/>
    <col min="9487" max="9487" width="11.7109375" style="31" customWidth="1"/>
    <col min="9488" max="9488" width="12.42578125" style="31" customWidth="1"/>
    <col min="9489" max="9489" width="11.7109375" style="31" customWidth="1"/>
    <col min="9490" max="9490" width="13.140625" style="31" customWidth="1"/>
    <col min="9491" max="9726" width="9.140625" style="31"/>
    <col min="9727" max="9727" width="3.7109375" style="31" customWidth="1"/>
    <col min="9728" max="9728" width="30.42578125" style="31" customWidth="1"/>
    <col min="9729" max="9729" width="7.140625" style="31" customWidth="1"/>
    <col min="9730" max="9730" width="10.7109375" style="31" customWidth="1"/>
    <col min="9731" max="9731" width="10.42578125" style="31" customWidth="1"/>
    <col min="9732" max="9732" width="10.5703125" style="31" customWidth="1"/>
    <col min="9733" max="9733" width="10.42578125" style="31" customWidth="1"/>
    <col min="9734" max="9736" width="10.5703125" style="31" customWidth="1"/>
    <col min="9737" max="9739" width="10.42578125" style="31" customWidth="1"/>
    <col min="9740" max="9740" width="10.5703125" style="31" customWidth="1"/>
    <col min="9741" max="9741" width="10.28515625" style="31" customWidth="1"/>
    <col min="9742" max="9742" width="10.140625" style="31" customWidth="1"/>
    <col min="9743" max="9743" width="11.7109375" style="31" customWidth="1"/>
    <col min="9744" max="9744" width="12.42578125" style="31" customWidth="1"/>
    <col min="9745" max="9745" width="11.7109375" style="31" customWidth="1"/>
    <col min="9746" max="9746" width="13.140625" style="31" customWidth="1"/>
    <col min="9747" max="9982" width="9.140625" style="31"/>
    <col min="9983" max="9983" width="3.7109375" style="31" customWidth="1"/>
    <col min="9984" max="9984" width="30.42578125" style="31" customWidth="1"/>
    <col min="9985" max="9985" width="7.140625" style="31" customWidth="1"/>
    <col min="9986" max="9986" width="10.7109375" style="31" customWidth="1"/>
    <col min="9987" max="9987" width="10.42578125" style="31" customWidth="1"/>
    <col min="9988" max="9988" width="10.5703125" style="31" customWidth="1"/>
    <col min="9989" max="9989" width="10.42578125" style="31" customWidth="1"/>
    <col min="9990" max="9992" width="10.5703125" style="31" customWidth="1"/>
    <col min="9993" max="9995" width="10.42578125" style="31" customWidth="1"/>
    <col min="9996" max="9996" width="10.5703125" style="31" customWidth="1"/>
    <col min="9997" max="9997" width="10.28515625" style="31" customWidth="1"/>
    <col min="9998" max="9998" width="10.140625" style="31" customWidth="1"/>
    <col min="9999" max="9999" width="11.7109375" style="31" customWidth="1"/>
    <col min="10000" max="10000" width="12.42578125" style="31" customWidth="1"/>
    <col min="10001" max="10001" width="11.7109375" style="31" customWidth="1"/>
    <col min="10002" max="10002" width="13.140625" style="31" customWidth="1"/>
    <col min="10003" max="10238" width="9.140625" style="31"/>
    <col min="10239" max="10239" width="3.7109375" style="31" customWidth="1"/>
    <col min="10240" max="10240" width="30.42578125" style="31" customWidth="1"/>
    <col min="10241" max="10241" width="7.140625" style="31" customWidth="1"/>
    <col min="10242" max="10242" width="10.7109375" style="31" customWidth="1"/>
    <col min="10243" max="10243" width="10.42578125" style="31" customWidth="1"/>
    <col min="10244" max="10244" width="10.5703125" style="31" customWidth="1"/>
    <col min="10245" max="10245" width="10.42578125" style="31" customWidth="1"/>
    <col min="10246" max="10248" width="10.5703125" style="31" customWidth="1"/>
    <col min="10249" max="10251" width="10.42578125" style="31" customWidth="1"/>
    <col min="10252" max="10252" width="10.5703125" style="31" customWidth="1"/>
    <col min="10253" max="10253" width="10.28515625" style="31" customWidth="1"/>
    <col min="10254" max="10254" width="10.140625" style="31" customWidth="1"/>
    <col min="10255" max="10255" width="11.7109375" style="31" customWidth="1"/>
    <col min="10256" max="10256" width="12.42578125" style="31" customWidth="1"/>
    <col min="10257" max="10257" width="11.7109375" style="31" customWidth="1"/>
    <col min="10258" max="10258" width="13.140625" style="31" customWidth="1"/>
    <col min="10259" max="10494" width="9.140625" style="31"/>
    <col min="10495" max="10495" width="3.7109375" style="31" customWidth="1"/>
    <col min="10496" max="10496" width="30.42578125" style="31" customWidth="1"/>
    <col min="10497" max="10497" width="7.140625" style="31" customWidth="1"/>
    <col min="10498" max="10498" width="10.7109375" style="31" customWidth="1"/>
    <col min="10499" max="10499" width="10.42578125" style="31" customWidth="1"/>
    <col min="10500" max="10500" width="10.5703125" style="31" customWidth="1"/>
    <col min="10501" max="10501" width="10.42578125" style="31" customWidth="1"/>
    <col min="10502" max="10504" width="10.5703125" style="31" customWidth="1"/>
    <col min="10505" max="10507" width="10.42578125" style="31" customWidth="1"/>
    <col min="10508" max="10508" width="10.5703125" style="31" customWidth="1"/>
    <col min="10509" max="10509" width="10.28515625" style="31" customWidth="1"/>
    <col min="10510" max="10510" width="10.140625" style="31" customWidth="1"/>
    <col min="10511" max="10511" width="11.7109375" style="31" customWidth="1"/>
    <col min="10512" max="10512" width="12.42578125" style="31" customWidth="1"/>
    <col min="10513" max="10513" width="11.7109375" style="31" customWidth="1"/>
    <col min="10514" max="10514" width="13.140625" style="31" customWidth="1"/>
    <col min="10515" max="10750" width="9.140625" style="31"/>
    <col min="10751" max="10751" width="3.7109375" style="31" customWidth="1"/>
    <col min="10752" max="10752" width="30.42578125" style="31" customWidth="1"/>
    <col min="10753" max="10753" width="7.140625" style="31" customWidth="1"/>
    <col min="10754" max="10754" width="10.7109375" style="31" customWidth="1"/>
    <col min="10755" max="10755" width="10.42578125" style="31" customWidth="1"/>
    <col min="10756" max="10756" width="10.5703125" style="31" customWidth="1"/>
    <col min="10757" max="10757" width="10.42578125" style="31" customWidth="1"/>
    <col min="10758" max="10760" width="10.5703125" style="31" customWidth="1"/>
    <col min="10761" max="10763" width="10.42578125" style="31" customWidth="1"/>
    <col min="10764" max="10764" width="10.5703125" style="31" customWidth="1"/>
    <col min="10765" max="10765" width="10.28515625" style="31" customWidth="1"/>
    <col min="10766" max="10766" width="10.140625" style="31" customWidth="1"/>
    <col min="10767" max="10767" width="11.7109375" style="31" customWidth="1"/>
    <col min="10768" max="10768" width="12.42578125" style="31" customWidth="1"/>
    <col min="10769" max="10769" width="11.7109375" style="31" customWidth="1"/>
    <col min="10770" max="10770" width="13.140625" style="31" customWidth="1"/>
    <col min="10771" max="11006" width="9.140625" style="31"/>
    <col min="11007" max="11007" width="3.7109375" style="31" customWidth="1"/>
    <col min="11008" max="11008" width="30.42578125" style="31" customWidth="1"/>
    <col min="11009" max="11009" width="7.140625" style="31" customWidth="1"/>
    <col min="11010" max="11010" width="10.7109375" style="31" customWidth="1"/>
    <col min="11011" max="11011" width="10.42578125" style="31" customWidth="1"/>
    <col min="11012" max="11012" width="10.5703125" style="31" customWidth="1"/>
    <col min="11013" max="11013" width="10.42578125" style="31" customWidth="1"/>
    <col min="11014" max="11016" width="10.5703125" style="31" customWidth="1"/>
    <col min="11017" max="11019" width="10.42578125" style="31" customWidth="1"/>
    <col min="11020" max="11020" width="10.5703125" style="31" customWidth="1"/>
    <col min="11021" max="11021" width="10.28515625" style="31" customWidth="1"/>
    <col min="11022" max="11022" width="10.140625" style="31" customWidth="1"/>
    <col min="11023" max="11023" width="11.7109375" style="31" customWidth="1"/>
    <col min="11024" max="11024" width="12.42578125" style="31" customWidth="1"/>
    <col min="11025" max="11025" width="11.7109375" style="31" customWidth="1"/>
    <col min="11026" max="11026" width="13.140625" style="31" customWidth="1"/>
    <col min="11027" max="11262" width="9.140625" style="31"/>
    <col min="11263" max="11263" width="3.7109375" style="31" customWidth="1"/>
    <col min="11264" max="11264" width="30.42578125" style="31" customWidth="1"/>
    <col min="11265" max="11265" width="7.140625" style="31" customWidth="1"/>
    <col min="11266" max="11266" width="10.7109375" style="31" customWidth="1"/>
    <col min="11267" max="11267" width="10.42578125" style="31" customWidth="1"/>
    <col min="11268" max="11268" width="10.5703125" style="31" customWidth="1"/>
    <col min="11269" max="11269" width="10.42578125" style="31" customWidth="1"/>
    <col min="11270" max="11272" width="10.5703125" style="31" customWidth="1"/>
    <col min="11273" max="11275" width="10.42578125" style="31" customWidth="1"/>
    <col min="11276" max="11276" width="10.5703125" style="31" customWidth="1"/>
    <col min="11277" max="11277" width="10.28515625" style="31" customWidth="1"/>
    <col min="11278" max="11278" width="10.140625" style="31" customWidth="1"/>
    <col min="11279" max="11279" width="11.7109375" style="31" customWidth="1"/>
    <col min="11280" max="11280" width="12.42578125" style="31" customWidth="1"/>
    <col min="11281" max="11281" width="11.7109375" style="31" customWidth="1"/>
    <col min="11282" max="11282" width="13.140625" style="31" customWidth="1"/>
    <col min="11283" max="11518" width="9.140625" style="31"/>
    <col min="11519" max="11519" width="3.7109375" style="31" customWidth="1"/>
    <col min="11520" max="11520" width="30.42578125" style="31" customWidth="1"/>
    <col min="11521" max="11521" width="7.140625" style="31" customWidth="1"/>
    <col min="11522" max="11522" width="10.7109375" style="31" customWidth="1"/>
    <col min="11523" max="11523" width="10.42578125" style="31" customWidth="1"/>
    <col min="11524" max="11524" width="10.5703125" style="31" customWidth="1"/>
    <col min="11525" max="11525" width="10.42578125" style="31" customWidth="1"/>
    <col min="11526" max="11528" width="10.5703125" style="31" customWidth="1"/>
    <col min="11529" max="11531" width="10.42578125" style="31" customWidth="1"/>
    <col min="11532" max="11532" width="10.5703125" style="31" customWidth="1"/>
    <col min="11533" max="11533" width="10.28515625" style="31" customWidth="1"/>
    <col min="11534" max="11534" width="10.140625" style="31" customWidth="1"/>
    <col min="11535" max="11535" width="11.7109375" style="31" customWidth="1"/>
    <col min="11536" max="11536" width="12.42578125" style="31" customWidth="1"/>
    <col min="11537" max="11537" width="11.7109375" style="31" customWidth="1"/>
    <col min="11538" max="11538" width="13.140625" style="31" customWidth="1"/>
    <col min="11539" max="11774" width="9.140625" style="31"/>
    <col min="11775" max="11775" width="3.7109375" style="31" customWidth="1"/>
    <col min="11776" max="11776" width="30.42578125" style="31" customWidth="1"/>
    <col min="11777" max="11777" width="7.140625" style="31" customWidth="1"/>
    <col min="11778" max="11778" width="10.7109375" style="31" customWidth="1"/>
    <col min="11779" max="11779" width="10.42578125" style="31" customWidth="1"/>
    <col min="11780" max="11780" width="10.5703125" style="31" customWidth="1"/>
    <col min="11781" max="11781" width="10.42578125" style="31" customWidth="1"/>
    <col min="11782" max="11784" width="10.5703125" style="31" customWidth="1"/>
    <col min="11785" max="11787" width="10.42578125" style="31" customWidth="1"/>
    <col min="11788" max="11788" width="10.5703125" style="31" customWidth="1"/>
    <col min="11789" max="11789" width="10.28515625" style="31" customWidth="1"/>
    <col min="11790" max="11790" width="10.140625" style="31" customWidth="1"/>
    <col min="11791" max="11791" width="11.7109375" style="31" customWidth="1"/>
    <col min="11792" max="11792" width="12.42578125" style="31" customWidth="1"/>
    <col min="11793" max="11793" width="11.7109375" style="31" customWidth="1"/>
    <col min="11794" max="11794" width="13.140625" style="31" customWidth="1"/>
    <col min="11795" max="12030" width="9.140625" style="31"/>
    <col min="12031" max="12031" width="3.7109375" style="31" customWidth="1"/>
    <col min="12032" max="12032" width="30.42578125" style="31" customWidth="1"/>
    <col min="12033" max="12033" width="7.140625" style="31" customWidth="1"/>
    <col min="12034" max="12034" width="10.7109375" style="31" customWidth="1"/>
    <col min="12035" max="12035" width="10.42578125" style="31" customWidth="1"/>
    <col min="12036" max="12036" width="10.5703125" style="31" customWidth="1"/>
    <col min="12037" max="12037" width="10.42578125" style="31" customWidth="1"/>
    <col min="12038" max="12040" width="10.5703125" style="31" customWidth="1"/>
    <col min="12041" max="12043" width="10.42578125" style="31" customWidth="1"/>
    <col min="12044" max="12044" width="10.5703125" style="31" customWidth="1"/>
    <col min="12045" max="12045" width="10.28515625" style="31" customWidth="1"/>
    <col min="12046" max="12046" width="10.140625" style="31" customWidth="1"/>
    <col min="12047" max="12047" width="11.7109375" style="31" customWidth="1"/>
    <col min="12048" max="12048" width="12.42578125" style="31" customWidth="1"/>
    <col min="12049" max="12049" width="11.7109375" style="31" customWidth="1"/>
    <col min="12050" max="12050" width="13.140625" style="31" customWidth="1"/>
    <col min="12051" max="12286" width="9.140625" style="31"/>
    <col min="12287" max="12287" width="3.7109375" style="31" customWidth="1"/>
    <col min="12288" max="12288" width="30.42578125" style="31" customWidth="1"/>
    <col min="12289" max="12289" width="7.140625" style="31" customWidth="1"/>
    <col min="12290" max="12290" width="10.7109375" style="31" customWidth="1"/>
    <col min="12291" max="12291" width="10.42578125" style="31" customWidth="1"/>
    <col min="12292" max="12292" width="10.5703125" style="31" customWidth="1"/>
    <col min="12293" max="12293" width="10.42578125" style="31" customWidth="1"/>
    <col min="12294" max="12296" width="10.5703125" style="31" customWidth="1"/>
    <col min="12297" max="12299" width="10.42578125" style="31" customWidth="1"/>
    <col min="12300" max="12300" width="10.5703125" style="31" customWidth="1"/>
    <col min="12301" max="12301" width="10.28515625" style="31" customWidth="1"/>
    <col min="12302" max="12302" width="10.140625" style="31" customWidth="1"/>
    <col min="12303" max="12303" width="11.7109375" style="31" customWidth="1"/>
    <col min="12304" max="12304" width="12.42578125" style="31" customWidth="1"/>
    <col min="12305" max="12305" width="11.7109375" style="31" customWidth="1"/>
    <col min="12306" max="12306" width="13.140625" style="31" customWidth="1"/>
    <col min="12307" max="12542" width="9.140625" style="31"/>
    <col min="12543" max="12543" width="3.7109375" style="31" customWidth="1"/>
    <col min="12544" max="12544" width="30.42578125" style="31" customWidth="1"/>
    <col min="12545" max="12545" width="7.140625" style="31" customWidth="1"/>
    <col min="12546" max="12546" width="10.7109375" style="31" customWidth="1"/>
    <col min="12547" max="12547" width="10.42578125" style="31" customWidth="1"/>
    <col min="12548" max="12548" width="10.5703125" style="31" customWidth="1"/>
    <col min="12549" max="12549" width="10.42578125" style="31" customWidth="1"/>
    <col min="12550" max="12552" width="10.5703125" style="31" customWidth="1"/>
    <col min="12553" max="12555" width="10.42578125" style="31" customWidth="1"/>
    <col min="12556" max="12556" width="10.5703125" style="31" customWidth="1"/>
    <col min="12557" max="12557" width="10.28515625" style="31" customWidth="1"/>
    <col min="12558" max="12558" width="10.140625" style="31" customWidth="1"/>
    <col min="12559" max="12559" width="11.7109375" style="31" customWidth="1"/>
    <col min="12560" max="12560" width="12.42578125" style="31" customWidth="1"/>
    <col min="12561" max="12561" width="11.7109375" style="31" customWidth="1"/>
    <col min="12562" max="12562" width="13.140625" style="31" customWidth="1"/>
    <col min="12563" max="12798" width="9.140625" style="31"/>
    <col min="12799" max="12799" width="3.7109375" style="31" customWidth="1"/>
    <col min="12800" max="12800" width="30.42578125" style="31" customWidth="1"/>
    <col min="12801" max="12801" width="7.140625" style="31" customWidth="1"/>
    <col min="12802" max="12802" width="10.7109375" style="31" customWidth="1"/>
    <col min="12803" max="12803" width="10.42578125" style="31" customWidth="1"/>
    <col min="12804" max="12804" width="10.5703125" style="31" customWidth="1"/>
    <col min="12805" max="12805" width="10.42578125" style="31" customWidth="1"/>
    <col min="12806" max="12808" width="10.5703125" style="31" customWidth="1"/>
    <col min="12809" max="12811" width="10.42578125" style="31" customWidth="1"/>
    <col min="12812" max="12812" width="10.5703125" style="31" customWidth="1"/>
    <col min="12813" max="12813" width="10.28515625" style="31" customWidth="1"/>
    <col min="12814" max="12814" width="10.140625" style="31" customWidth="1"/>
    <col min="12815" max="12815" width="11.7109375" style="31" customWidth="1"/>
    <col min="12816" max="12816" width="12.42578125" style="31" customWidth="1"/>
    <col min="12817" max="12817" width="11.7109375" style="31" customWidth="1"/>
    <col min="12818" max="12818" width="13.140625" style="31" customWidth="1"/>
    <col min="12819" max="13054" width="9.140625" style="31"/>
    <col min="13055" max="13055" width="3.7109375" style="31" customWidth="1"/>
    <col min="13056" max="13056" width="30.42578125" style="31" customWidth="1"/>
    <col min="13057" max="13057" width="7.140625" style="31" customWidth="1"/>
    <col min="13058" max="13058" width="10.7109375" style="31" customWidth="1"/>
    <col min="13059" max="13059" width="10.42578125" style="31" customWidth="1"/>
    <col min="13060" max="13060" width="10.5703125" style="31" customWidth="1"/>
    <col min="13061" max="13061" width="10.42578125" style="31" customWidth="1"/>
    <col min="13062" max="13064" width="10.5703125" style="31" customWidth="1"/>
    <col min="13065" max="13067" width="10.42578125" style="31" customWidth="1"/>
    <col min="13068" max="13068" width="10.5703125" style="31" customWidth="1"/>
    <col min="13069" max="13069" width="10.28515625" style="31" customWidth="1"/>
    <col min="13070" max="13070" width="10.140625" style="31" customWidth="1"/>
    <col min="13071" max="13071" width="11.7109375" style="31" customWidth="1"/>
    <col min="13072" max="13072" width="12.42578125" style="31" customWidth="1"/>
    <col min="13073" max="13073" width="11.7109375" style="31" customWidth="1"/>
    <col min="13074" max="13074" width="13.140625" style="31" customWidth="1"/>
    <col min="13075" max="13310" width="9.140625" style="31"/>
    <col min="13311" max="13311" width="3.7109375" style="31" customWidth="1"/>
    <col min="13312" max="13312" width="30.42578125" style="31" customWidth="1"/>
    <col min="13313" max="13313" width="7.140625" style="31" customWidth="1"/>
    <col min="13314" max="13314" width="10.7109375" style="31" customWidth="1"/>
    <col min="13315" max="13315" width="10.42578125" style="31" customWidth="1"/>
    <col min="13316" max="13316" width="10.5703125" style="31" customWidth="1"/>
    <col min="13317" max="13317" width="10.42578125" style="31" customWidth="1"/>
    <col min="13318" max="13320" width="10.5703125" style="31" customWidth="1"/>
    <col min="13321" max="13323" width="10.42578125" style="31" customWidth="1"/>
    <col min="13324" max="13324" width="10.5703125" style="31" customWidth="1"/>
    <col min="13325" max="13325" width="10.28515625" style="31" customWidth="1"/>
    <col min="13326" max="13326" width="10.140625" style="31" customWidth="1"/>
    <col min="13327" max="13327" width="11.7109375" style="31" customWidth="1"/>
    <col min="13328" max="13328" width="12.42578125" style="31" customWidth="1"/>
    <col min="13329" max="13329" width="11.7109375" style="31" customWidth="1"/>
    <col min="13330" max="13330" width="13.140625" style="31" customWidth="1"/>
    <col min="13331" max="13566" width="9.140625" style="31"/>
    <col min="13567" max="13567" width="3.7109375" style="31" customWidth="1"/>
    <col min="13568" max="13568" width="30.42578125" style="31" customWidth="1"/>
    <col min="13569" max="13569" width="7.140625" style="31" customWidth="1"/>
    <col min="13570" max="13570" width="10.7109375" style="31" customWidth="1"/>
    <col min="13571" max="13571" width="10.42578125" style="31" customWidth="1"/>
    <col min="13572" max="13572" width="10.5703125" style="31" customWidth="1"/>
    <col min="13573" max="13573" width="10.42578125" style="31" customWidth="1"/>
    <col min="13574" max="13576" width="10.5703125" style="31" customWidth="1"/>
    <col min="13577" max="13579" width="10.42578125" style="31" customWidth="1"/>
    <col min="13580" max="13580" width="10.5703125" style="31" customWidth="1"/>
    <col min="13581" max="13581" width="10.28515625" style="31" customWidth="1"/>
    <col min="13582" max="13582" width="10.140625" style="31" customWidth="1"/>
    <col min="13583" max="13583" width="11.7109375" style="31" customWidth="1"/>
    <col min="13584" max="13584" width="12.42578125" style="31" customWidth="1"/>
    <col min="13585" max="13585" width="11.7109375" style="31" customWidth="1"/>
    <col min="13586" max="13586" width="13.140625" style="31" customWidth="1"/>
    <col min="13587" max="13822" width="9.140625" style="31"/>
    <col min="13823" max="13823" width="3.7109375" style="31" customWidth="1"/>
    <col min="13824" max="13824" width="30.42578125" style="31" customWidth="1"/>
    <col min="13825" max="13825" width="7.140625" style="31" customWidth="1"/>
    <col min="13826" max="13826" width="10.7109375" style="31" customWidth="1"/>
    <col min="13827" max="13827" width="10.42578125" style="31" customWidth="1"/>
    <col min="13828" max="13828" width="10.5703125" style="31" customWidth="1"/>
    <col min="13829" max="13829" width="10.42578125" style="31" customWidth="1"/>
    <col min="13830" max="13832" width="10.5703125" style="31" customWidth="1"/>
    <col min="13833" max="13835" width="10.42578125" style="31" customWidth="1"/>
    <col min="13836" max="13836" width="10.5703125" style="31" customWidth="1"/>
    <col min="13837" max="13837" width="10.28515625" style="31" customWidth="1"/>
    <col min="13838" max="13838" width="10.140625" style="31" customWidth="1"/>
    <col min="13839" max="13839" width="11.7109375" style="31" customWidth="1"/>
    <col min="13840" max="13840" width="12.42578125" style="31" customWidth="1"/>
    <col min="13841" max="13841" width="11.7109375" style="31" customWidth="1"/>
    <col min="13842" max="13842" width="13.140625" style="31" customWidth="1"/>
    <col min="13843" max="14078" width="9.140625" style="31"/>
    <col min="14079" max="14079" width="3.7109375" style="31" customWidth="1"/>
    <col min="14080" max="14080" width="30.42578125" style="31" customWidth="1"/>
    <col min="14081" max="14081" width="7.140625" style="31" customWidth="1"/>
    <col min="14082" max="14082" width="10.7109375" style="31" customWidth="1"/>
    <col min="14083" max="14083" width="10.42578125" style="31" customWidth="1"/>
    <col min="14084" max="14084" width="10.5703125" style="31" customWidth="1"/>
    <col min="14085" max="14085" width="10.42578125" style="31" customWidth="1"/>
    <col min="14086" max="14088" width="10.5703125" style="31" customWidth="1"/>
    <col min="14089" max="14091" width="10.42578125" style="31" customWidth="1"/>
    <col min="14092" max="14092" width="10.5703125" style="31" customWidth="1"/>
    <col min="14093" max="14093" width="10.28515625" style="31" customWidth="1"/>
    <col min="14094" max="14094" width="10.140625" style="31" customWidth="1"/>
    <col min="14095" max="14095" width="11.7109375" style="31" customWidth="1"/>
    <col min="14096" max="14096" width="12.42578125" style="31" customWidth="1"/>
    <col min="14097" max="14097" width="11.7109375" style="31" customWidth="1"/>
    <col min="14098" max="14098" width="13.140625" style="31" customWidth="1"/>
    <col min="14099" max="14334" width="9.140625" style="31"/>
    <col min="14335" max="14335" width="3.7109375" style="31" customWidth="1"/>
    <col min="14336" max="14336" width="30.42578125" style="31" customWidth="1"/>
    <col min="14337" max="14337" width="7.140625" style="31" customWidth="1"/>
    <col min="14338" max="14338" width="10.7109375" style="31" customWidth="1"/>
    <col min="14339" max="14339" width="10.42578125" style="31" customWidth="1"/>
    <col min="14340" max="14340" width="10.5703125" style="31" customWidth="1"/>
    <col min="14341" max="14341" width="10.42578125" style="31" customWidth="1"/>
    <col min="14342" max="14344" width="10.5703125" style="31" customWidth="1"/>
    <col min="14345" max="14347" width="10.42578125" style="31" customWidth="1"/>
    <col min="14348" max="14348" width="10.5703125" style="31" customWidth="1"/>
    <col min="14349" max="14349" width="10.28515625" style="31" customWidth="1"/>
    <col min="14350" max="14350" width="10.140625" style="31" customWidth="1"/>
    <col min="14351" max="14351" width="11.7109375" style="31" customWidth="1"/>
    <col min="14352" max="14352" width="12.42578125" style="31" customWidth="1"/>
    <col min="14353" max="14353" width="11.7109375" style="31" customWidth="1"/>
    <col min="14354" max="14354" width="13.140625" style="31" customWidth="1"/>
    <col min="14355" max="14590" width="9.140625" style="31"/>
    <col min="14591" max="14591" width="3.7109375" style="31" customWidth="1"/>
    <col min="14592" max="14592" width="30.42578125" style="31" customWidth="1"/>
    <col min="14593" max="14593" width="7.140625" style="31" customWidth="1"/>
    <col min="14594" max="14594" width="10.7109375" style="31" customWidth="1"/>
    <col min="14595" max="14595" width="10.42578125" style="31" customWidth="1"/>
    <col min="14596" max="14596" width="10.5703125" style="31" customWidth="1"/>
    <col min="14597" max="14597" width="10.42578125" style="31" customWidth="1"/>
    <col min="14598" max="14600" width="10.5703125" style="31" customWidth="1"/>
    <col min="14601" max="14603" width="10.42578125" style="31" customWidth="1"/>
    <col min="14604" max="14604" width="10.5703125" style="31" customWidth="1"/>
    <col min="14605" max="14605" width="10.28515625" style="31" customWidth="1"/>
    <col min="14606" max="14606" width="10.140625" style="31" customWidth="1"/>
    <col min="14607" max="14607" width="11.7109375" style="31" customWidth="1"/>
    <col min="14608" max="14608" width="12.42578125" style="31" customWidth="1"/>
    <col min="14609" max="14609" width="11.7109375" style="31" customWidth="1"/>
    <col min="14610" max="14610" width="13.140625" style="31" customWidth="1"/>
    <col min="14611" max="14846" width="9.140625" style="31"/>
    <col min="14847" max="14847" width="3.7109375" style="31" customWidth="1"/>
    <col min="14848" max="14848" width="30.42578125" style="31" customWidth="1"/>
    <col min="14849" max="14849" width="7.140625" style="31" customWidth="1"/>
    <col min="14850" max="14850" width="10.7109375" style="31" customWidth="1"/>
    <col min="14851" max="14851" width="10.42578125" style="31" customWidth="1"/>
    <col min="14852" max="14852" width="10.5703125" style="31" customWidth="1"/>
    <col min="14853" max="14853" width="10.42578125" style="31" customWidth="1"/>
    <col min="14854" max="14856" width="10.5703125" style="31" customWidth="1"/>
    <col min="14857" max="14859" width="10.42578125" style="31" customWidth="1"/>
    <col min="14860" max="14860" width="10.5703125" style="31" customWidth="1"/>
    <col min="14861" max="14861" width="10.28515625" style="31" customWidth="1"/>
    <col min="14862" max="14862" width="10.140625" style="31" customWidth="1"/>
    <col min="14863" max="14863" width="11.7109375" style="31" customWidth="1"/>
    <col min="14864" max="14864" width="12.42578125" style="31" customWidth="1"/>
    <col min="14865" max="14865" width="11.7109375" style="31" customWidth="1"/>
    <col min="14866" max="14866" width="13.140625" style="31" customWidth="1"/>
    <col min="14867" max="15102" width="9.140625" style="31"/>
    <col min="15103" max="15103" width="3.7109375" style="31" customWidth="1"/>
    <col min="15104" max="15104" width="30.42578125" style="31" customWidth="1"/>
    <col min="15105" max="15105" width="7.140625" style="31" customWidth="1"/>
    <col min="15106" max="15106" width="10.7109375" style="31" customWidth="1"/>
    <col min="15107" max="15107" width="10.42578125" style="31" customWidth="1"/>
    <col min="15108" max="15108" width="10.5703125" style="31" customWidth="1"/>
    <col min="15109" max="15109" width="10.42578125" style="31" customWidth="1"/>
    <col min="15110" max="15112" width="10.5703125" style="31" customWidth="1"/>
    <col min="15113" max="15115" width="10.42578125" style="31" customWidth="1"/>
    <col min="15116" max="15116" width="10.5703125" style="31" customWidth="1"/>
    <col min="15117" max="15117" width="10.28515625" style="31" customWidth="1"/>
    <col min="15118" max="15118" width="10.140625" style="31" customWidth="1"/>
    <col min="15119" max="15119" width="11.7109375" style="31" customWidth="1"/>
    <col min="15120" max="15120" width="12.42578125" style="31" customWidth="1"/>
    <col min="15121" max="15121" width="11.7109375" style="31" customWidth="1"/>
    <col min="15122" max="15122" width="13.140625" style="31" customWidth="1"/>
    <col min="15123" max="15358" width="9.140625" style="31"/>
    <col min="15359" max="15359" width="3.7109375" style="31" customWidth="1"/>
    <col min="15360" max="15360" width="30.42578125" style="31" customWidth="1"/>
    <col min="15361" max="15361" width="7.140625" style="31" customWidth="1"/>
    <col min="15362" max="15362" width="10.7109375" style="31" customWidth="1"/>
    <col min="15363" max="15363" width="10.42578125" style="31" customWidth="1"/>
    <col min="15364" max="15364" width="10.5703125" style="31" customWidth="1"/>
    <col min="15365" max="15365" width="10.42578125" style="31" customWidth="1"/>
    <col min="15366" max="15368" width="10.5703125" style="31" customWidth="1"/>
    <col min="15369" max="15371" width="10.42578125" style="31" customWidth="1"/>
    <col min="15372" max="15372" width="10.5703125" style="31" customWidth="1"/>
    <col min="15373" max="15373" width="10.28515625" style="31" customWidth="1"/>
    <col min="15374" max="15374" width="10.140625" style="31" customWidth="1"/>
    <col min="15375" max="15375" width="11.7109375" style="31" customWidth="1"/>
    <col min="15376" max="15376" width="12.42578125" style="31" customWidth="1"/>
    <col min="15377" max="15377" width="11.7109375" style="31" customWidth="1"/>
    <col min="15378" max="15378" width="13.140625" style="31" customWidth="1"/>
    <col min="15379" max="15614" width="9.140625" style="31"/>
    <col min="15615" max="15615" width="3.7109375" style="31" customWidth="1"/>
    <col min="15616" max="15616" width="30.42578125" style="31" customWidth="1"/>
    <col min="15617" max="15617" width="7.140625" style="31" customWidth="1"/>
    <col min="15618" max="15618" width="10.7109375" style="31" customWidth="1"/>
    <col min="15619" max="15619" width="10.42578125" style="31" customWidth="1"/>
    <col min="15620" max="15620" width="10.5703125" style="31" customWidth="1"/>
    <col min="15621" max="15621" width="10.42578125" style="31" customWidth="1"/>
    <col min="15622" max="15624" width="10.5703125" style="31" customWidth="1"/>
    <col min="15625" max="15627" width="10.42578125" style="31" customWidth="1"/>
    <col min="15628" max="15628" width="10.5703125" style="31" customWidth="1"/>
    <col min="15629" max="15629" width="10.28515625" style="31" customWidth="1"/>
    <col min="15630" max="15630" width="10.140625" style="31" customWidth="1"/>
    <col min="15631" max="15631" width="11.7109375" style="31" customWidth="1"/>
    <col min="15632" max="15632" width="12.42578125" style="31" customWidth="1"/>
    <col min="15633" max="15633" width="11.7109375" style="31" customWidth="1"/>
    <col min="15634" max="15634" width="13.140625" style="31" customWidth="1"/>
    <col min="15635" max="15870" width="9.140625" style="31"/>
    <col min="15871" max="15871" width="3.7109375" style="31" customWidth="1"/>
    <col min="15872" max="15872" width="30.42578125" style="31" customWidth="1"/>
    <col min="15873" max="15873" width="7.140625" style="31" customWidth="1"/>
    <col min="15874" max="15874" width="10.7109375" style="31" customWidth="1"/>
    <col min="15875" max="15875" width="10.42578125" style="31" customWidth="1"/>
    <col min="15876" max="15876" width="10.5703125" style="31" customWidth="1"/>
    <col min="15877" max="15877" width="10.42578125" style="31" customWidth="1"/>
    <col min="15878" max="15880" width="10.5703125" style="31" customWidth="1"/>
    <col min="15881" max="15883" width="10.42578125" style="31" customWidth="1"/>
    <col min="15884" max="15884" width="10.5703125" style="31" customWidth="1"/>
    <col min="15885" max="15885" width="10.28515625" style="31" customWidth="1"/>
    <col min="15886" max="15886" width="10.140625" style="31" customWidth="1"/>
    <col min="15887" max="15887" width="11.7109375" style="31" customWidth="1"/>
    <col min="15888" max="15888" width="12.42578125" style="31" customWidth="1"/>
    <col min="15889" max="15889" width="11.7109375" style="31" customWidth="1"/>
    <col min="15890" max="15890" width="13.140625" style="31" customWidth="1"/>
    <col min="15891" max="16126" width="9.140625" style="31"/>
    <col min="16127" max="16127" width="3.7109375" style="31" customWidth="1"/>
    <col min="16128" max="16128" width="30.42578125" style="31" customWidth="1"/>
    <col min="16129" max="16129" width="7.140625" style="31" customWidth="1"/>
    <col min="16130" max="16130" width="10.7109375" style="31" customWidth="1"/>
    <col min="16131" max="16131" width="10.42578125" style="31" customWidth="1"/>
    <col min="16132" max="16132" width="10.5703125" style="31" customWidth="1"/>
    <col min="16133" max="16133" width="10.42578125" style="31" customWidth="1"/>
    <col min="16134" max="16136" width="10.5703125" style="31" customWidth="1"/>
    <col min="16137" max="16139" width="10.42578125" style="31" customWidth="1"/>
    <col min="16140" max="16140" width="10.5703125" style="31" customWidth="1"/>
    <col min="16141" max="16141" width="10.28515625" style="31" customWidth="1"/>
    <col min="16142" max="16142" width="10.140625" style="31" customWidth="1"/>
    <col min="16143" max="16143" width="11.7109375" style="31" customWidth="1"/>
    <col min="16144" max="16144" width="12.42578125" style="31" customWidth="1"/>
    <col min="16145" max="16145" width="11.7109375" style="31" customWidth="1"/>
    <col min="16146" max="16146" width="13.140625" style="31" customWidth="1"/>
    <col min="16147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161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8.75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" t="s">
        <v>1</v>
      </c>
      <c r="B4" s="3" t="s">
        <v>2</v>
      </c>
      <c r="C4" s="4"/>
      <c r="D4" s="5" t="s">
        <v>3</v>
      </c>
      <c r="E4" s="6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6" t="s">
        <v>15</v>
      </c>
      <c r="Q4" s="6" t="s">
        <v>164</v>
      </c>
      <c r="R4" s="6" t="s">
        <v>165</v>
      </c>
      <c r="S4" s="8" t="s">
        <v>166</v>
      </c>
    </row>
    <row r="5" spans="1:19" s="15" customFormat="1" ht="25.5">
      <c r="A5" s="10" t="s">
        <v>16</v>
      </c>
      <c r="B5" s="11" t="s">
        <v>162</v>
      </c>
      <c r="C5" s="12">
        <v>30</v>
      </c>
      <c r="D5" s="13">
        <v>134</v>
      </c>
      <c r="E5" s="13">
        <v>158</v>
      </c>
      <c r="F5" s="13">
        <v>168</v>
      </c>
      <c r="G5" s="13">
        <v>126</v>
      </c>
      <c r="H5" s="13">
        <v>126</v>
      </c>
      <c r="I5" s="13">
        <v>76</v>
      </c>
      <c r="J5" s="13">
        <v>108</v>
      </c>
      <c r="K5" s="13">
        <v>94</v>
      </c>
      <c r="L5" s="13">
        <v>53</v>
      </c>
      <c r="M5" s="13">
        <v>131</v>
      </c>
      <c r="N5" s="13">
        <v>67</v>
      </c>
      <c r="O5" s="13">
        <v>64</v>
      </c>
      <c r="P5" s="13">
        <v>59</v>
      </c>
      <c r="Q5" s="13">
        <f>SUM(D5:P5)</f>
        <v>1364</v>
      </c>
      <c r="R5" s="13">
        <v>1362</v>
      </c>
      <c r="S5" s="58">
        <v>1444</v>
      </c>
    </row>
    <row r="6" spans="1:19" s="21" customFormat="1">
      <c r="A6" s="16"/>
      <c r="B6" s="17" t="s">
        <v>17</v>
      </c>
      <c r="C6" s="18"/>
      <c r="D6" s="13">
        <v>40</v>
      </c>
      <c r="E6" s="13">
        <v>91</v>
      </c>
      <c r="F6" s="13">
        <v>33</v>
      </c>
      <c r="G6" s="13">
        <v>103</v>
      </c>
      <c r="H6" s="13">
        <v>27</v>
      </c>
      <c r="I6" s="13">
        <v>23</v>
      </c>
      <c r="J6" s="13">
        <v>35</v>
      </c>
      <c r="K6" s="13">
        <v>113</v>
      </c>
      <c r="L6" s="13">
        <v>58</v>
      </c>
      <c r="M6" s="13">
        <v>25</v>
      </c>
      <c r="N6" s="13">
        <v>36</v>
      </c>
      <c r="O6" s="13">
        <v>15</v>
      </c>
      <c r="P6" s="13">
        <v>0</v>
      </c>
      <c r="Q6" s="19">
        <f>SUM(D6:P6)</f>
        <v>599</v>
      </c>
      <c r="R6" s="19">
        <v>602</v>
      </c>
      <c r="S6" s="96">
        <v>653</v>
      </c>
    </row>
    <row r="7" spans="1:19" s="27" customFormat="1" ht="15">
      <c r="A7" s="22"/>
      <c r="B7" s="23" t="s">
        <v>18</v>
      </c>
      <c r="C7" s="24"/>
      <c r="D7" s="25">
        <f>SUM(D5:D6)</f>
        <v>174</v>
      </c>
      <c r="E7" s="25">
        <f t="shared" ref="E7:P7" si="0">SUM(E5:E6)</f>
        <v>249</v>
      </c>
      <c r="F7" s="25">
        <f t="shared" si="0"/>
        <v>201</v>
      </c>
      <c r="G7" s="25">
        <f t="shared" si="0"/>
        <v>229</v>
      </c>
      <c r="H7" s="25">
        <f t="shared" si="0"/>
        <v>153</v>
      </c>
      <c r="I7" s="25">
        <f t="shared" si="0"/>
        <v>99</v>
      </c>
      <c r="J7" s="25">
        <f t="shared" si="0"/>
        <v>143</v>
      </c>
      <c r="K7" s="25">
        <f t="shared" si="0"/>
        <v>207</v>
      </c>
      <c r="L7" s="25">
        <f t="shared" si="0"/>
        <v>111</v>
      </c>
      <c r="M7" s="25">
        <f t="shared" si="0"/>
        <v>156</v>
      </c>
      <c r="N7" s="25">
        <f t="shared" si="0"/>
        <v>103</v>
      </c>
      <c r="O7" s="25">
        <f t="shared" si="0"/>
        <v>79</v>
      </c>
      <c r="P7" s="25">
        <f t="shared" si="0"/>
        <v>59</v>
      </c>
      <c r="Q7" s="25">
        <f>SUM(D7:P7)</f>
        <v>1963</v>
      </c>
      <c r="R7" s="25">
        <v>1964</v>
      </c>
      <c r="S7" s="26">
        <v>2097</v>
      </c>
    </row>
    <row r="8" spans="1:19">
      <c r="A8" s="28" t="s">
        <v>19</v>
      </c>
      <c r="B8" s="11" t="s">
        <v>20</v>
      </c>
      <c r="C8" s="29"/>
      <c r="D8" s="13">
        <v>134</v>
      </c>
      <c r="E8" s="13">
        <v>157</v>
      </c>
      <c r="F8" s="13">
        <v>168</v>
      </c>
      <c r="G8" s="13">
        <v>125</v>
      </c>
      <c r="H8" s="13">
        <v>126</v>
      </c>
      <c r="I8" s="13">
        <v>75</v>
      </c>
      <c r="J8" s="13">
        <v>109</v>
      </c>
      <c r="K8" s="13">
        <v>93</v>
      </c>
      <c r="L8" s="13">
        <v>53</v>
      </c>
      <c r="M8" s="13">
        <v>132</v>
      </c>
      <c r="N8" s="13">
        <v>67</v>
      </c>
      <c r="O8" s="13">
        <v>64</v>
      </c>
      <c r="P8" s="13">
        <v>61</v>
      </c>
      <c r="Q8" s="30">
        <f>SUM(D8:P8)</f>
        <v>1364</v>
      </c>
      <c r="R8" s="30">
        <v>1365</v>
      </c>
      <c r="S8" s="171">
        <v>1437</v>
      </c>
    </row>
    <row r="9" spans="1:19">
      <c r="A9" s="16"/>
      <c r="B9" s="17" t="s">
        <v>21</v>
      </c>
      <c r="C9" s="18"/>
      <c r="D9" s="13">
        <f>D6</f>
        <v>40</v>
      </c>
      <c r="E9" s="13">
        <f t="shared" ref="E9:P9" si="1">E6</f>
        <v>91</v>
      </c>
      <c r="F9" s="13">
        <f t="shared" si="1"/>
        <v>33</v>
      </c>
      <c r="G9" s="13">
        <f t="shared" si="1"/>
        <v>103</v>
      </c>
      <c r="H9" s="13">
        <f t="shared" si="1"/>
        <v>27</v>
      </c>
      <c r="I9" s="13">
        <f t="shared" si="1"/>
        <v>23</v>
      </c>
      <c r="J9" s="13">
        <f t="shared" si="1"/>
        <v>35</v>
      </c>
      <c r="K9" s="13">
        <f t="shared" si="1"/>
        <v>113</v>
      </c>
      <c r="L9" s="13">
        <f t="shared" si="1"/>
        <v>58</v>
      </c>
      <c r="M9" s="13">
        <f t="shared" si="1"/>
        <v>25</v>
      </c>
      <c r="N9" s="13">
        <f t="shared" si="1"/>
        <v>36</v>
      </c>
      <c r="O9" s="13">
        <f t="shared" si="1"/>
        <v>15</v>
      </c>
      <c r="P9" s="13">
        <f t="shared" si="1"/>
        <v>0</v>
      </c>
      <c r="Q9" s="13">
        <f>SUM(D9:P9)</f>
        <v>599</v>
      </c>
      <c r="R9" s="13">
        <v>602</v>
      </c>
      <c r="S9" s="58">
        <v>653</v>
      </c>
    </row>
    <row r="10" spans="1:19" s="33" customFormat="1" ht="15">
      <c r="A10" s="22"/>
      <c r="B10" s="23" t="s">
        <v>22</v>
      </c>
      <c r="C10" s="24"/>
      <c r="D10" s="32">
        <f>SUM(D8:D9)</f>
        <v>174</v>
      </c>
      <c r="E10" s="32">
        <f t="shared" ref="E10:P10" si="2">SUM(E8:E9)</f>
        <v>248</v>
      </c>
      <c r="F10" s="32">
        <f t="shared" si="2"/>
        <v>201</v>
      </c>
      <c r="G10" s="32">
        <f t="shared" si="2"/>
        <v>228</v>
      </c>
      <c r="H10" s="32">
        <f t="shared" si="2"/>
        <v>153</v>
      </c>
      <c r="I10" s="32">
        <f t="shared" si="2"/>
        <v>98</v>
      </c>
      <c r="J10" s="32">
        <f t="shared" si="2"/>
        <v>144</v>
      </c>
      <c r="K10" s="32">
        <f t="shared" si="2"/>
        <v>206</v>
      </c>
      <c r="L10" s="32">
        <f t="shared" si="2"/>
        <v>111</v>
      </c>
      <c r="M10" s="32">
        <f t="shared" si="2"/>
        <v>157</v>
      </c>
      <c r="N10" s="32">
        <f t="shared" si="2"/>
        <v>103</v>
      </c>
      <c r="O10" s="32">
        <f t="shared" si="2"/>
        <v>79</v>
      </c>
      <c r="P10" s="32">
        <f t="shared" si="2"/>
        <v>61</v>
      </c>
      <c r="Q10" s="32">
        <f>SUM(Q8:Q9)</f>
        <v>1963</v>
      </c>
      <c r="R10" s="32">
        <v>1967</v>
      </c>
      <c r="S10" s="48">
        <v>2090</v>
      </c>
    </row>
    <row r="11" spans="1:19" s="15" customFormat="1">
      <c r="A11" s="10" t="s">
        <v>23</v>
      </c>
      <c r="B11" s="34" t="s">
        <v>24</v>
      </c>
      <c r="C11" s="35"/>
      <c r="D11" s="13">
        <v>99</v>
      </c>
      <c r="E11" s="13">
        <v>110</v>
      </c>
      <c r="F11" s="13">
        <v>100</v>
      </c>
      <c r="G11" s="13">
        <v>95</v>
      </c>
      <c r="H11" s="13">
        <v>89</v>
      </c>
      <c r="I11" s="13">
        <v>54</v>
      </c>
      <c r="J11" s="13">
        <v>82</v>
      </c>
      <c r="K11" s="13">
        <v>61</v>
      </c>
      <c r="L11" s="13">
        <v>43</v>
      </c>
      <c r="M11" s="13">
        <v>81</v>
      </c>
      <c r="N11" s="13">
        <v>43</v>
      </c>
      <c r="O11" s="13">
        <v>42</v>
      </c>
      <c r="P11" s="13">
        <v>40</v>
      </c>
      <c r="Q11" s="36">
        <f>SUM(D11:P11)</f>
        <v>939</v>
      </c>
      <c r="R11" s="36">
        <v>902</v>
      </c>
      <c r="S11" s="49">
        <v>945</v>
      </c>
    </row>
    <row r="12" spans="1:19" s="21" customFormat="1">
      <c r="A12" s="16"/>
      <c r="B12" s="17" t="s">
        <v>25</v>
      </c>
      <c r="C12" s="18"/>
      <c r="D12" s="13">
        <v>4</v>
      </c>
      <c r="E12" s="13">
        <v>2</v>
      </c>
      <c r="F12" s="13">
        <v>0</v>
      </c>
      <c r="G12" s="13">
        <v>1</v>
      </c>
      <c r="H12" s="13">
        <v>3</v>
      </c>
      <c r="I12" s="13">
        <v>1</v>
      </c>
      <c r="J12" s="13">
        <v>8</v>
      </c>
      <c r="K12" s="13">
        <v>4</v>
      </c>
      <c r="L12" s="13">
        <v>1</v>
      </c>
      <c r="M12" s="13">
        <v>0</v>
      </c>
      <c r="N12" s="13">
        <v>4</v>
      </c>
      <c r="O12" s="13">
        <v>2</v>
      </c>
      <c r="P12" s="13">
        <v>0</v>
      </c>
      <c r="Q12" s="37">
        <f>SUM(D12:P12)</f>
        <v>30</v>
      </c>
      <c r="R12" s="37">
        <v>55</v>
      </c>
      <c r="S12" s="38">
        <v>42</v>
      </c>
    </row>
    <row r="13" spans="1:19" s="21" customFormat="1">
      <c r="A13" s="16"/>
      <c r="B13" s="34" t="s">
        <v>26</v>
      </c>
      <c r="C13" s="18"/>
      <c r="D13" s="37">
        <f>D11+D12</f>
        <v>103</v>
      </c>
      <c r="E13" s="37">
        <f t="shared" ref="E13:Q13" si="3">E11+E12</f>
        <v>112</v>
      </c>
      <c r="F13" s="37">
        <f t="shared" si="3"/>
        <v>100</v>
      </c>
      <c r="G13" s="37">
        <f t="shared" si="3"/>
        <v>96</v>
      </c>
      <c r="H13" s="37">
        <f t="shared" si="3"/>
        <v>92</v>
      </c>
      <c r="I13" s="37">
        <f t="shared" si="3"/>
        <v>55</v>
      </c>
      <c r="J13" s="37">
        <f t="shared" si="3"/>
        <v>90</v>
      </c>
      <c r="K13" s="37">
        <f t="shared" si="3"/>
        <v>65</v>
      </c>
      <c r="L13" s="37">
        <f t="shared" si="3"/>
        <v>44</v>
      </c>
      <c r="M13" s="37">
        <f t="shared" si="3"/>
        <v>81</v>
      </c>
      <c r="N13" s="37">
        <f t="shared" si="3"/>
        <v>47</v>
      </c>
      <c r="O13" s="37">
        <f t="shared" si="3"/>
        <v>44</v>
      </c>
      <c r="P13" s="37">
        <f t="shared" si="3"/>
        <v>40</v>
      </c>
      <c r="Q13" s="37">
        <f t="shared" si="3"/>
        <v>969</v>
      </c>
      <c r="R13" s="37">
        <v>957</v>
      </c>
      <c r="S13" s="38">
        <v>987</v>
      </c>
    </row>
    <row r="14" spans="1:19" s="21" customFormat="1">
      <c r="A14" s="39"/>
      <c r="B14" s="40" t="s">
        <v>27</v>
      </c>
      <c r="C14" s="41"/>
      <c r="D14" s="42">
        <f t="shared" ref="D14:Q14" si="4">D12/D8*100</f>
        <v>2.9850746268656714</v>
      </c>
      <c r="E14" s="42">
        <f t="shared" si="4"/>
        <v>1.2738853503184715</v>
      </c>
      <c r="F14" s="42">
        <f t="shared" si="4"/>
        <v>0</v>
      </c>
      <c r="G14" s="42">
        <f t="shared" si="4"/>
        <v>0.8</v>
      </c>
      <c r="H14" s="42">
        <f t="shared" si="4"/>
        <v>2.3809523809523809</v>
      </c>
      <c r="I14" s="42">
        <f t="shared" si="4"/>
        <v>1.3333333333333335</v>
      </c>
      <c r="J14" s="42">
        <f t="shared" si="4"/>
        <v>7.3394495412844041</v>
      </c>
      <c r="K14" s="42">
        <f t="shared" si="4"/>
        <v>4.3010752688172049</v>
      </c>
      <c r="L14" s="42">
        <f t="shared" si="4"/>
        <v>1.8867924528301887</v>
      </c>
      <c r="M14" s="42">
        <f t="shared" si="4"/>
        <v>0</v>
      </c>
      <c r="N14" s="42">
        <f t="shared" si="4"/>
        <v>5.9701492537313428</v>
      </c>
      <c r="O14" s="42">
        <f t="shared" si="4"/>
        <v>3.125</v>
      </c>
      <c r="P14" s="42">
        <f t="shared" si="4"/>
        <v>0</v>
      </c>
      <c r="Q14" s="42">
        <f t="shared" si="4"/>
        <v>2.1994134897360706</v>
      </c>
      <c r="R14" s="42">
        <v>4.0293040293040292</v>
      </c>
      <c r="S14" s="43">
        <v>2.9227557411273484</v>
      </c>
    </row>
    <row r="15" spans="1:19" s="21" customFormat="1">
      <c r="A15" s="28" t="s">
        <v>28</v>
      </c>
      <c r="B15" s="34" t="s">
        <v>29</v>
      </c>
      <c r="C15" s="29"/>
      <c r="D15" s="13">
        <f>D11</f>
        <v>99</v>
      </c>
      <c r="E15" s="13">
        <f t="shared" ref="E15:P15" si="5">E11</f>
        <v>110</v>
      </c>
      <c r="F15" s="13">
        <f t="shared" si="5"/>
        <v>100</v>
      </c>
      <c r="G15" s="13">
        <f t="shared" si="5"/>
        <v>95</v>
      </c>
      <c r="H15" s="13">
        <f t="shared" si="5"/>
        <v>89</v>
      </c>
      <c r="I15" s="13">
        <f t="shared" si="5"/>
        <v>54</v>
      </c>
      <c r="J15" s="13">
        <f t="shared" si="5"/>
        <v>82</v>
      </c>
      <c r="K15" s="13">
        <f t="shared" si="5"/>
        <v>61</v>
      </c>
      <c r="L15" s="44">
        <f t="shared" si="5"/>
        <v>43</v>
      </c>
      <c r="M15" s="13">
        <f t="shared" si="5"/>
        <v>81</v>
      </c>
      <c r="N15" s="13">
        <f t="shared" si="5"/>
        <v>43</v>
      </c>
      <c r="O15" s="13">
        <f t="shared" si="5"/>
        <v>42</v>
      </c>
      <c r="P15" s="13">
        <f t="shared" si="5"/>
        <v>40</v>
      </c>
      <c r="Q15" s="45">
        <f>SUM(D15:P15)</f>
        <v>939</v>
      </c>
      <c r="R15" s="45">
        <v>902</v>
      </c>
      <c r="S15" s="46">
        <v>945</v>
      </c>
    </row>
    <row r="16" spans="1:19" s="21" customFormat="1">
      <c r="A16" s="16"/>
      <c r="B16" s="17" t="s">
        <v>21</v>
      </c>
      <c r="C16" s="18"/>
      <c r="D16" s="13">
        <v>21</v>
      </c>
      <c r="E16" s="13">
        <v>60</v>
      </c>
      <c r="F16" s="13">
        <v>20</v>
      </c>
      <c r="G16" s="13">
        <v>77</v>
      </c>
      <c r="H16" s="13">
        <v>19</v>
      </c>
      <c r="I16" s="13">
        <v>13</v>
      </c>
      <c r="J16" s="13">
        <v>22</v>
      </c>
      <c r="K16" s="13">
        <v>84</v>
      </c>
      <c r="L16" s="13">
        <v>52</v>
      </c>
      <c r="M16" s="13">
        <v>18</v>
      </c>
      <c r="N16" s="13">
        <v>30</v>
      </c>
      <c r="O16" s="13">
        <v>12</v>
      </c>
      <c r="P16" s="13">
        <v>0</v>
      </c>
      <c r="Q16" s="37">
        <f>SUM(D16:P16)</f>
        <v>428</v>
      </c>
      <c r="R16" s="37">
        <v>420</v>
      </c>
      <c r="S16" s="38">
        <v>432</v>
      </c>
    </row>
    <row r="17" spans="1:19" s="27" customFormat="1" ht="15">
      <c r="A17" s="22"/>
      <c r="B17" s="47" t="s">
        <v>30</v>
      </c>
      <c r="C17" s="24"/>
      <c r="D17" s="32">
        <f>SUM(D15:D16)</f>
        <v>120</v>
      </c>
      <c r="E17" s="32">
        <f t="shared" ref="E17:Q17" si="6">SUM(E15:E16)</f>
        <v>170</v>
      </c>
      <c r="F17" s="32">
        <f t="shared" si="6"/>
        <v>120</v>
      </c>
      <c r="G17" s="32">
        <f t="shared" si="6"/>
        <v>172</v>
      </c>
      <c r="H17" s="32">
        <f t="shared" si="6"/>
        <v>108</v>
      </c>
      <c r="I17" s="32">
        <f t="shared" si="6"/>
        <v>67</v>
      </c>
      <c r="J17" s="32">
        <f t="shared" si="6"/>
        <v>104</v>
      </c>
      <c r="K17" s="32">
        <f t="shared" si="6"/>
        <v>145</v>
      </c>
      <c r="L17" s="32">
        <f t="shared" si="6"/>
        <v>95</v>
      </c>
      <c r="M17" s="32">
        <f t="shared" si="6"/>
        <v>99</v>
      </c>
      <c r="N17" s="32">
        <f t="shared" si="6"/>
        <v>73</v>
      </c>
      <c r="O17" s="32">
        <f t="shared" si="6"/>
        <v>54</v>
      </c>
      <c r="P17" s="32">
        <f t="shared" si="6"/>
        <v>40</v>
      </c>
      <c r="Q17" s="32">
        <f t="shared" si="6"/>
        <v>1367</v>
      </c>
      <c r="R17" s="32">
        <v>1322</v>
      </c>
      <c r="S17" s="48">
        <v>1377</v>
      </c>
    </row>
    <row r="18" spans="1:19" s="15" customFormat="1" ht="25.5">
      <c r="A18" s="10">
        <v>3</v>
      </c>
      <c r="B18" s="11" t="s">
        <v>31</v>
      </c>
      <c r="C18" s="35"/>
      <c r="D18" s="19">
        <f>D8-D11</f>
        <v>35</v>
      </c>
      <c r="E18" s="19">
        <f t="shared" ref="E18:Q18" si="7">E8-E11</f>
        <v>47</v>
      </c>
      <c r="F18" s="19">
        <f t="shared" si="7"/>
        <v>68</v>
      </c>
      <c r="G18" s="19">
        <f t="shared" si="7"/>
        <v>30</v>
      </c>
      <c r="H18" s="19">
        <f t="shared" si="7"/>
        <v>37</v>
      </c>
      <c r="I18" s="19">
        <f t="shared" si="7"/>
        <v>21</v>
      </c>
      <c r="J18" s="19">
        <f t="shared" si="7"/>
        <v>27</v>
      </c>
      <c r="K18" s="19">
        <f t="shared" si="7"/>
        <v>32</v>
      </c>
      <c r="L18" s="19">
        <f t="shared" si="7"/>
        <v>10</v>
      </c>
      <c r="M18" s="19">
        <f t="shared" si="7"/>
        <v>51</v>
      </c>
      <c r="N18" s="19">
        <f t="shared" si="7"/>
        <v>24</v>
      </c>
      <c r="O18" s="19">
        <f t="shared" si="7"/>
        <v>22</v>
      </c>
      <c r="P18" s="19">
        <f t="shared" si="7"/>
        <v>21</v>
      </c>
      <c r="Q18" s="19">
        <f t="shared" si="7"/>
        <v>425</v>
      </c>
      <c r="R18" s="19">
        <v>463</v>
      </c>
      <c r="S18" s="96">
        <v>492</v>
      </c>
    </row>
    <row r="19" spans="1:19" s="21" customFormat="1" ht="18" customHeight="1">
      <c r="A19" s="16"/>
      <c r="B19" s="17" t="s">
        <v>21</v>
      </c>
      <c r="C19" s="18"/>
      <c r="D19" s="19">
        <f>D6-D16</f>
        <v>19</v>
      </c>
      <c r="E19" s="19">
        <f t="shared" ref="E19:Q19" si="8">E6-E16</f>
        <v>31</v>
      </c>
      <c r="F19" s="19">
        <f t="shared" si="8"/>
        <v>13</v>
      </c>
      <c r="G19" s="19">
        <f t="shared" si="8"/>
        <v>26</v>
      </c>
      <c r="H19" s="19">
        <f t="shared" si="8"/>
        <v>8</v>
      </c>
      <c r="I19" s="19">
        <f t="shared" si="8"/>
        <v>10</v>
      </c>
      <c r="J19" s="19">
        <f t="shared" si="8"/>
        <v>13</v>
      </c>
      <c r="K19" s="19">
        <f t="shared" si="8"/>
        <v>29</v>
      </c>
      <c r="L19" s="19">
        <f t="shared" si="8"/>
        <v>6</v>
      </c>
      <c r="M19" s="19">
        <f t="shared" si="8"/>
        <v>7</v>
      </c>
      <c r="N19" s="19">
        <f t="shared" si="8"/>
        <v>6</v>
      </c>
      <c r="O19" s="19">
        <f t="shared" si="8"/>
        <v>3</v>
      </c>
      <c r="P19" s="19">
        <f t="shared" si="8"/>
        <v>0</v>
      </c>
      <c r="Q19" s="19">
        <f t="shared" si="8"/>
        <v>171</v>
      </c>
      <c r="R19" s="19">
        <v>182</v>
      </c>
      <c r="S19" s="96">
        <v>221</v>
      </c>
    </row>
    <row r="20" spans="1:19" s="21" customFormat="1" ht="18" customHeight="1">
      <c r="A20" s="16"/>
      <c r="B20" s="50" t="s">
        <v>32</v>
      </c>
      <c r="C20" s="18"/>
      <c r="D20" s="37">
        <f t="shared" ref="D20:P20" si="9">SUM(D18:D19)</f>
        <v>54</v>
      </c>
      <c r="E20" s="37">
        <f t="shared" si="9"/>
        <v>78</v>
      </c>
      <c r="F20" s="37">
        <f t="shared" si="9"/>
        <v>81</v>
      </c>
      <c r="G20" s="37">
        <f t="shared" si="9"/>
        <v>56</v>
      </c>
      <c r="H20" s="37">
        <f t="shared" si="9"/>
        <v>45</v>
      </c>
      <c r="I20" s="37">
        <f>SUM(I18:I19)</f>
        <v>31</v>
      </c>
      <c r="J20" s="37">
        <f>SUM(J18:J19)</f>
        <v>40</v>
      </c>
      <c r="K20" s="37">
        <f t="shared" si="9"/>
        <v>61</v>
      </c>
      <c r="L20" s="37">
        <f t="shared" si="9"/>
        <v>16</v>
      </c>
      <c r="M20" s="37">
        <f>SUM(M18:M19)</f>
        <v>58</v>
      </c>
      <c r="N20" s="37">
        <f t="shared" si="9"/>
        <v>30</v>
      </c>
      <c r="O20" s="37">
        <f t="shared" si="9"/>
        <v>25</v>
      </c>
      <c r="P20" s="37">
        <f t="shared" si="9"/>
        <v>21</v>
      </c>
      <c r="Q20" s="37">
        <f>SUM(D20:P20)</f>
        <v>596</v>
      </c>
      <c r="R20" s="37">
        <v>645</v>
      </c>
      <c r="S20" s="38">
        <v>713</v>
      </c>
    </row>
    <row r="21" spans="1:19" s="21" customFormat="1" ht="18" customHeight="1">
      <c r="A21" s="16"/>
      <c r="B21" s="17" t="s">
        <v>33</v>
      </c>
      <c r="C21" s="18"/>
      <c r="D21" s="13">
        <v>32</v>
      </c>
      <c r="E21" s="13">
        <v>46</v>
      </c>
      <c r="F21" s="13">
        <v>68</v>
      </c>
      <c r="G21" s="13">
        <v>29</v>
      </c>
      <c r="H21" s="13">
        <v>34</v>
      </c>
      <c r="I21" s="13">
        <v>19</v>
      </c>
      <c r="J21" s="13">
        <v>18</v>
      </c>
      <c r="K21" s="13">
        <v>27</v>
      </c>
      <c r="L21" s="13">
        <v>9</v>
      </c>
      <c r="M21" s="13">
        <v>52</v>
      </c>
      <c r="N21" s="13">
        <v>19</v>
      </c>
      <c r="O21" s="13">
        <v>21</v>
      </c>
      <c r="P21" s="13">
        <v>21</v>
      </c>
      <c r="Q21" s="37">
        <f>SUM(D21:P21)</f>
        <v>395</v>
      </c>
      <c r="R21" s="37">
        <v>409</v>
      </c>
      <c r="S21" s="38">
        <v>447</v>
      </c>
    </row>
    <row r="22" spans="1:19" s="15" customFormat="1">
      <c r="A22" s="51"/>
      <c r="B22" s="52" t="s">
        <v>34</v>
      </c>
      <c r="C22" s="53"/>
      <c r="D22" s="42">
        <f t="shared" ref="D22:Q22" si="10">SUM(D21/D8*100)</f>
        <v>23.880597014925371</v>
      </c>
      <c r="E22" s="42">
        <f t="shared" si="10"/>
        <v>29.29936305732484</v>
      </c>
      <c r="F22" s="42">
        <f t="shared" si="10"/>
        <v>40.476190476190474</v>
      </c>
      <c r="G22" s="42">
        <f t="shared" si="10"/>
        <v>23.200000000000003</v>
      </c>
      <c r="H22" s="42">
        <f t="shared" si="10"/>
        <v>26.984126984126984</v>
      </c>
      <c r="I22" s="42">
        <f t="shared" si="10"/>
        <v>25.333333333333336</v>
      </c>
      <c r="J22" s="42">
        <f t="shared" si="10"/>
        <v>16.513761467889911</v>
      </c>
      <c r="K22" s="42">
        <f t="shared" si="10"/>
        <v>29.032258064516132</v>
      </c>
      <c r="L22" s="42">
        <f t="shared" si="10"/>
        <v>16.981132075471699</v>
      </c>
      <c r="M22" s="42">
        <f t="shared" si="10"/>
        <v>39.393939393939391</v>
      </c>
      <c r="N22" s="42">
        <f t="shared" si="10"/>
        <v>28.35820895522388</v>
      </c>
      <c r="O22" s="42">
        <f t="shared" si="10"/>
        <v>32.8125</v>
      </c>
      <c r="P22" s="42">
        <f t="shared" si="10"/>
        <v>34.42622950819672</v>
      </c>
      <c r="Q22" s="42">
        <f t="shared" si="10"/>
        <v>28.958944281524928</v>
      </c>
      <c r="R22" s="42">
        <v>29.963369963369964</v>
      </c>
      <c r="S22" s="43">
        <v>31.106471816283925</v>
      </c>
    </row>
    <row r="23" spans="1:19" s="57" customFormat="1" ht="25.5">
      <c r="A23" s="54">
        <v>4</v>
      </c>
      <c r="B23" s="55" t="s">
        <v>35</v>
      </c>
      <c r="C23" s="56"/>
      <c r="D23" s="13">
        <v>165</v>
      </c>
      <c r="E23" s="13">
        <v>209</v>
      </c>
      <c r="F23" s="13">
        <v>165</v>
      </c>
      <c r="G23" s="13">
        <v>210</v>
      </c>
      <c r="H23" s="13">
        <v>131</v>
      </c>
      <c r="I23" s="13">
        <v>83</v>
      </c>
      <c r="J23" s="13">
        <v>128</v>
      </c>
      <c r="K23" s="13">
        <v>180</v>
      </c>
      <c r="L23" s="13">
        <v>97</v>
      </c>
      <c r="M23" s="13">
        <v>125</v>
      </c>
      <c r="N23" s="13">
        <v>84</v>
      </c>
      <c r="O23" s="13">
        <v>66</v>
      </c>
      <c r="P23" s="13">
        <v>42</v>
      </c>
      <c r="Q23" s="44">
        <f>SUM(D23:P23)</f>
        <v>1685</v>
      </c>
      <c r="R23" s="44">
        <v>1700</v>
      </c>
      <c r="S23" s="14">
        <v>1667</v>
      </c>
    </row>
    <row r="24" spans="1:19" s="15" customFormat="1" ht="27.75" customHeight="1">
      <c r="A24" s="10">
        <v>5</v>
      </c>
      <c r="B24" s="11" t="s">
        <v>36</v>
      </c>
      <c r="C24" s="35"/>
      <c r="D24" s="13">
        <v>98</v>
      </c>
      <c r="E24" s="13">
        <v>101</v>
      </c>
      <c r="F24" s="13">
        <v>100</v>
      </c>
      <c r="G24" s="13">
        <v>93</v>
      </c>
      <c r="H24" s="13">
        <v>86</v>
      </c>
      <c r="I24" s="13">
        <v>54</v>
      </c>
      <c r="J24" s="13">
        <v>81</v>
      </c>
      <c r="K24" s="13">
        <v>60</v>
      </c>
      <c r="L24" s="13">
        <v>43</v>
      </c>
      <c r="M24" s="13">
        <v>80</v>
      </c>
      <c r="N24" s="13">
        <v>43</v>
      </c>
      <c r="O24" s="13">
        <v>42</v>
      </c>
      <c r="P24" s="13">
        <v>40</v>
      </c>
      <c r="Q24" s="45">
        <f t="shared" ref="Q24:Q29" si="11">SUM(D24:P24)</f>
        <v>921</v>
      </c>
      <c r="R24" s="45">
        <v>893</v>
      </c>
      <c r="S24" s="46">
        <v>931</v>
      </c>
    </row>
    <row r="25" spans="1:19" s="21" customFormat="1">
      <c r="A25" s="16"/>
      <c r="B25" s="17" t="s">
        <v>37</v>
      </c>
      <c r="C25" s="18"/>
      <c r="D25" s="13">
        <v>21</v>
      </c>
      <c r="E25" s="13">
        <v>60</v>
      </c>
      <c r="F25" s="13">
        <v>20</v>
      </c>
      <c r="G25" s="13">
        <v>77</v>
      </c>
      <c r="H25" s="13">
        <v>19</v>
      </c>
      <c r="I25" s="13">
        <v>13</v>
      </c>
      <c r="J25" s="13">
        <v>21</v>
      </c>
      <c r="K25" s="13">
        <v>84</v>
      </c>
      <c r="L25" s="13">
        <v>52</v>
      </c>
      <c r="M25" s="13">
        <v>18</v>
      </c>
      <c r="N25" s="13">
        <v>30</v>
      </c>
      <c r="O25" s="13">
        <v>12</v>
      </c>
      <c r="P25" s="13">
        <v>0</v>
      </c>
      <c r="Q25" s="37">
        <f t="shared" si="11"/>
        <v>427</v>
      </c>
      <c r="R25" s="37">
        <v>420</v>
      </c>
      <c r="S25" s="38">
        <v>432</v>
      </c>
    </row>
    <row r="26" spans="1:19" s="21" customFormat="1">
      <c r="A26" s="39"/>
      <c r="B26" s="40" t="s">
        <v>38</v>
      </c>
      <c r="C26" s="41"/>
      <c r="D26" s="59">
        <f t="shared" ref="D26:P26" si="12">SUM(D24:D25)</f>
        <v>119</v>
      </c>
      <c r="E26" s="59">
        <f t="shared" si="12"/>
        <v>161</v>
      </c>
      <c r="F26" s="59">
        <f t="shared" si="12"/>
        <v>120</v>
      </c>
      <c r="G26" s="59">
        <f t="shared" si="12"/>
        <v>170</v>
      </c>
      <c r="H26" s="59">
        <f t="shared" si="12"/>
        <v>105</v>
      </c>
      <c r="I26" s="59">
        <f>SUM(I24:I25)</f>
        <v>67</v>
      </c>
      <c r="J26" s="59">
        <f>SUM(J24:J25)</f>
        <v>102</v>
      </c>
      <c r="K26" s="59">
        <f t="shared" si="12"/>
        <v>144</v>
      </c>
      <c r="L26" s="59">
        <f t="shared" si="12"/>
        <v>95</v>
      </c>
      <c r="M26" s="59">
        <f>SUM(M24:M25)</f>
        <v>98</v>
      </c>
      <c r="N26" s="59">
        <f t="shared" si="12"/>
        <v>73</v>
      </c>
      <c r="O26" s="59">
        <f t="shared" si="12"/>
        <v>54</v>
      </c>
      <c r="P26" s="59">
        <f t="shared" si="12"/>
        <v>40</v>
      </c>
      <c r="Q26" s="59">
        <f t="shared" si="11"/>
        <v>1348</v>
      </c>
      <c r="R26" s="59">
        <v>1313</v>
      </c>
      <c r="S26" s="60">
        <v>1363</v>
      </c>
    </row>
    <row r="27" spans="1:19" s="27" customFormat="1" ht="18" customHeight="1">
      <c r="A27" s="61">
        <v>6</v>
      </c>
      <c r="B27" s="55" t="s">
        <v>39</v>
      </c>
      <c r="C27" s="56"/>
      <c r="D27" s="13">
        <v>1020294</v>
      </c>
      <c r="E27" s="13">
        <v>1432065</v>
      </c>
      <c r="F27" s="13">
        <v>944325</v>
      </c>
      <c r="G27" s="13">
        <v>1250532</v>
      </c>
      <c r="H27" s="13">
        <v>968376</v>
      </c>
      <c r="I27" s="13">
        <v>478818</v>
      </c>
      <c r="J27" s="13">
        <v>766386</v>
      </c>
      <c r="K27" s="13">
        <v>1390593</v>
      </c>
      <c r="L27" s="13">
        <v>799110</v>
      </c>
      <c r="M27" s="13">
        <v>935708</v>
      </c>
      <c r="N27" s="13">
        <v>555408</v>
      </c>
      <c r="O27" s="13">
        <v>487278</v>
      </c>
      <c r="P27" s="13">
        <v>271653</v>
      </c>
      <c r="Q27" s="62">
        <f>SUM(D27:P27)</f>
        <v>11300546</v>
      </c>
      <c r="R27" s="62">
        <v>11902792.550000003</v>
      </c>
      <c r="S27" s="188">
        <v>11999286</v>
      </c>
    </row>
    <row r="28" spans="1:19" s="21" customFormat="1" ht="18" customHeight="1">
      <c r="A28" s="16">
        <v>7</v>
      </c>
      <c r="B28" s="17" t="s">
        <v>40</v>
      </c>
      <c r="C28" s="18"/>
      <c r="D28" s="13">
        <v>506229</v>
      </c>
      <c r="E28" s="13">
        <v>84234</v>
      </c>
      <c r="F28" s="13">
        <v>423804</v>
      </c>
      <c r="G28" s="13">
        <v>512440</v>
      </c>
      <c r="H28" s="13">
        <v>553898</v>
      </c>
      <c r="I28" s="13">
        <v>334283</v>
      </c>
      <c r="J28" s="13">
        <v>447465</v>
      </c>
      <c r="K28" s="13">
        <v>364793</v>
      </c>
      <c r="L28" s="13">
        <v>368291</v>
      </c>
      <c r="M28" s="13">
        <v>125103</v>
      </c>
      <c r="N28" s="13">
        <v>50596</v>
      </c>
      <c r="O28" s="13">
        <v>38248</v>
      </c>
      <c r="P28" s="13">
        <v>98631</v>
      </c>
      <c r="Q28" s="44">
        <f t="shared" si="11"/>
        <v>3908015</v>
      </c>
      <c r="R28" s="44">
        <v>3969563</v>
      </c>
      <c r="S28" s="14">
        <v>3949667</v>
      </c>
    </row>
    <row r="29" spans="1:19" s="21" customFormat="1" ht="18" customHeight="1">
      <c r="A29" s="16"/>
      <c r="B29" s="17" t="s">
        <v>41</v>
      </c>
      <c r="C29" s="18"/>
      <c r="D29" s="13">
        <v>71950</v>
      </c>
      <c r="E29" s="13">
        <v>548318</v>
      </c>
      <c r="F29" s="13">
        <v>105289</v>
      </c>
      <c r="G29" s="13">
        <v>0</v>
      </c>
      <c r="H29" s="13">
        <v>67284</v>
      </c>
      <c r="I29" s="13">
        <v>0</v>
      </c>
      <c r="J29" s="13">
        <v>11609</v>
      </c>
      <c r="K29" s="13">
        <v>71279</v>
      </c>
      <c r="L29" s="13">
        <v>0</v>
      </c>
      <c r="M29" s="13">
        <v>416443</v>
      </c>
      <c r="N29" s="13">
        <v>208582</v>
      </c>
      <c r="O29" s="13">
        <v>235572</v>
      </c>
      <c r="P29" s="13">
        <v>147551</v>
      </c>
      <c r="Q29" s="44">
        <f t="shared" si="11"/>
        <v>1883877</v>
      </c>
      <c r="R29" s="44">
        <v>2020582</v>
      </c>
      <c r="S29" s="14">
        <v>1849150</v>
      </c>
    </row>
    <row r="30" spans="1:19" s="21" customFormat="1" ht="18" customHeight="1">
      <c r="A30" s="16"/>
      <c r="B30" s="17" t="s">
        <v>42</v>
      </c>
      <c r="C30" s="18"/>
      <c r="D30" s="13">
        <f t="shared" ref="D30:Q30" si="13">SUM(D28:D29)</f>
        <v>578179</v>
      </c>
      <c r="E30" s="13">
        <f t="shared" si="13"/>
        <v>632552</v>
      </c>
      <c r="F30" s="13">
        <f t="shared" si="13"/>
        <v>529093</v>
      </c>
      <c r="G30" s="13">
        <f t="shared" si="13"/>
        <v>512440</v>
      </c>
      <c r="H30" s="13">
        <f t="shared" si="13"/>
        <v>621182</v>
      </c>
      <c r="I30" s="13">
        <f t="shared" si="13"/>
        <v>334283</v>
      </c>
      <c r="J30" s="13">
        <f t="shared" si="13"/>
        <v>459074</v>
      </c>
      <c r="K30" s="13">
        <f t="shared" si="13"/>
        <v>436072</v>
      </c>
      <c r="L30" s="13">
        <f t="shared" si="13"/>
        <v>368291</v>
      </c>
      <c r="M30" s="13">
        <f t="shared" si="13"/>
        <v>541546</v>
      </c>
      <c r="N30" s="13">
        <f t="shared" si="13"/>
        <v>259178</v>
      </c>
      <c r="O30" s="13">
        <f t="shared" si="13"/>
        <v>273820</v>
      </c>
      <c r="P30" s="13">
        <f t="shared" si="13"/>
        <v>246182</v>
      </c>
      <c r="Q30" s="63">
        <f t="shared" si="13"/>
        <v>5791892</v>
      </c>
      <c r="R30" s="63">
        <v>5990145</v>
      </c>
      <c r="S30" s="20">
        <v>5798817</v>
      </c>
    </row>
    <row r="31" spans="1:19" s="21" customFormat="1" ht="18" customHeight="1">
      <c r="A31" s="64"/>
      <c r="B31" s="17" t="s">
        <v>43</v>
      </c>
      <c r="C31" s="18"/>
      <c r="D31" s="13">
        <f>29292+105903</f>
        <v>135195</v>
      </c>
      <c r="E31" s="13">
        <v>432553</v>
      </c>
      <c r="F31" s="13">
        <v>103359</v>
      </c>
      <c r="G31" s="13">
        <f>286780+176018</f>
        <v>462798</v>
      </c>
      <c r="H31" s="13">
        <v>105884</v>
      </c>
      <c r="I31" s="13">
        <f>72269+5836</f>
        <v>78105</v>
      </c>
      <c r="J31" s="13">
        <v>123876</v>
      </c>
      <c r="K31" s="13">
        <f>228793+288584</f>
        <v>517377</v>
      </c>
      <c r="L31" s="13">
        <f>47910+348011</f>
        <v>395921</v>
      </c>
      <c r="M31" s="13">
        <f>67960+54552</f>
        <v>122512</v>
      </c>
      <c r="N31" s="13">
        <f>39405+61941</f>
        <v>101346</v>
      </c>
      <c r="O31" s="13">
        <f>42625+30864</f>
        <v>73489</v>
      </c>
      <c r="P31" s="13">
        <v>0</v>
      </c>
      <c r="Q31" s="45">
        <f>SUM(D31:P31)</f>
        <v>2652415</v>
      </c>
      <c r="R31" s="37">
        <v>2746096</v>
      </c>
      <c r="S31" s="46">
        <v>2776341.8</v>
      </c>
    </row>
    <row r="32" spans="1:19" s="21" customFormat="1" ht="18" customHeight="1">
      <c r="A32" s="64"/>
      <c r="B32" s="17" t="s">
        <v>153</v>
      </c>
      <c r="C32" s="18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73015</v>
      </c>
      <c r="L32" s="13">
        <v>0</v>
      </c>
      <c r="M32" s="13">
        <v>0</v>
      </c>
      <c r="N32" s="13">
        <v>95731</v>
      </c>
      <c r="O32" s="13">
        <v>0</v>
      </c>
      <c r="P32" s="13">
        <v>0</v>
      </c>
      <c r="Q32" s="45">
        <f>SUM(D32:P32)</f>
        <v>168746</v>
      </c>
      <c r="R32" s="137">
        <v>179650</v>
      </c>
      <c r="S32" s="38">
        <v>0</v>
      </c>
    </row>
    <row r="33" spans="1:19" s="21" customFormat="1" ht="18" customHeight="1">
      <c r="A33" s="64"/>
      <c r="B33" s="17" t="s">
        <v>150</v>
      </c>
      <c r="C33" s="18"/>
      <c r="D33" s="13">
        <f>SUM(D31:D32)</f>
        <v>135195</v>
      </c>
      <c r="E33" s="13">
        <f t="shared" ref="E33:Q33" si="14">SUM(E31:E32)</f>
        <v>432553</v>
      </c>
      <c r="F33" s="13">
        <f t="shared" si="14"/>
        <v>103359</v>
      </c>
      <c r="G33" s="13">
        <f t="shared" si="14"/>
        <v>462798</v>
      </c>
      <c r="H33" s="13">
        <f t="shared" si="14"/>
        <v>105884</v>
      </c>
      <c r="I33" s="13">
        <f t="shared" si="14"/>
        <v>78105</v>
      </c>
      <c r="J33" s="13">
        <f t="shared" si="14"/>
        <v>123876</v>
      </c>
      <c r="K33" s="13">
        <f t="shared" si="14"/>
        <v>590392</v>
      </c>
      <c r="L33" s="13">
        <f t="shared" si="14"/>
        <v>395921</v>
      </c>
      <c r="M33" s="13">
        <f t="shared" si="14"/>
        <v>122512</v>
      </c>
      <c r="N33" s="13">
        <f t="shared" si="14"/>
        <v>197077</v>
      </c>
      <c r="O33" s="13">
        <f t="shared" si="14"/>
        <v>73489</v>
      </c>
      <c r="P33" s="13">
        <f t="shared" si="14"/>
        <v>0</v>
      </c>
      <c r="Q33" s="13">
        <f t="shared" si="14"/>
        <v>2821161</v>
      </c>
      <c r="R33" s="37">
        <v>2925746</v>
      </c>
      <c r="S33" s="58">
        <v>2776342</v>
      </c>
    </row>
    <row r="34" spans="1:19" s="27" customFormat="1" ht="25.5">
      <c r="A34" s="65"/>
      <c r="B34" s="66" t="s">
        <v>152</v>
      </c>
      <c r="C34" s="67"/>
      <c r="D34" s="68">
        <f>D30+D33</f>
        <v>713374</v>
      </c>
      <c r="E34" s="68">
        <f t="shared" ref="E34:Q34" si="15">E30+E33</f>
        <v>1065105</v>
      </c>
      <c r="F34" s="68">
        <f t="shared" si="15"/>
        <v>632452</v>
      </c>
      <c r="G34" s="68">
        <f t="shared" si="15"/>
        <v>975238</v>
      </c>
      <c r="H34" s="68">
        <f t="shared" si="15"/>
        <v>727066</v>
      </c>
      <c r="I34" s="68">
        <f t="shared" si="15"/>
        <v>412388</v>
      </c>
      <c r="J34" s="68">
        <f t="shared" si="15"/>
        <v>582950</v>
      </c>
      <c r="K34" s="68">
        <f t="shared" si="15"/>
        <v>1026464</v>
      </c>
      <c r="L34" s="68">
        <f t="shared" si="15"/>
        <v>764212</v>
      </c>
      <c r="M34" s="68">
        <f t="shared" si="15"/>
        <v>664058</v>
      </c>
      <c r="N34" s="68">
        <f t="shared" si="15"/>
        <v>456255</v>
      </c>
      <c r="O34" s="68">
        <f t="shared" si="15"/>
        <v>347309</v>
      </c>
      <c r="P34" s="68">
        <f t="shared" si="15"/>
        <v>246182</v>
      </c>
      <c r="Q34" s="68">
        <f t="shared" si="15"/>
        <v>8613053</v>
      </c>
      <c r="R34" s="68">
        <v>8915891</v>
      </c>
      <c r="S34" s="69">
        <v>8575158.8000000007</v>
      </c>
    </row>
    <row r="35" spans="1:19" s="21" customFormat="1" ht="18" customHeight="1">
      <c r="A35" s="28"/>
      <c r="B35" s="11" t="s">
        <v>44</v>
      </c>
      <c r="C35" s="29"/>
      <c r="D35" s="45">
        <f>D34/C5</f>
        <v>23779.133333333335</v>
      </c>
      <c r="E35" s="45">
        <f>E34/C5</f>
        <v>35503.5</v>
      </c>
      <c r="F35" s="45">
        <f>F34/C5</f>
        <v>21081.733333333334</v>
      </c>
      <c r="G35" s="45">
        <f>G34/C5</f>
        <v>32507.933333333334</v>
      </c>
      <c r="H35" s="45">
        <f>H34/C5</f>
        <v>24235.533333333333</v>
      </c>
      <c r="I35" s="45">
        <f>I34/C5</f>
        <v>13746.266666666666</v>
      </c>
      <c r="J35" s="45">
        <f>J34/C5</f>
        <v>19431.666666666668</v>
      </c>
      <c r="K35" s="45">
        <f>K34/C5</f>
        <v>34215.466666666667</v>
      </c>
      <c r="L35" s="45">
        <f>L34/C5</f>
        <v>25473.733333333334</v>
      </c>
      <c r="M35" s="45">
        <f>M34/C5</f>
        <v>22135.266666666666</v>
      </c>
      <c r="N35" s="45">
        <f>N34/C5</f>
        <v>15208.5</v>
      </c>
      <c r="O35" s="45">
        <f>O34/C5</f>
        <v>11576.966666666667</v>
      </c>
      <c r="P35" s="45">
        <f>P34/C5</f>
        <v>8206.0666666666675</v>
      </c>
      <c r="Q35" s="45">
        <f>Q34/C5</f>
        <v>287101.76666666666</v>
      </c>
      <c r="R35" s="37">
        <v>287609.38709677418</v>
      </c>
      <c r="S35" s="46">
        <v>285838.62666666671</v>
      </c>
    </row>
    <row r="36" spans="1:19" s="21" customFormat="1" ht="18" customHeight="1" thickBot="1">
      <c r="A36" s="70"/>
      <c r="B36" s="71" t="s">
        <v>45</v>
      </c>
      <c r="C36" s="72"/>
      <c r="D36" s="73">
        <f t="shared" ref="D36:Q36" si="16">SUM((D35)/D17)</f>
        <v>198.15944444444446</v>
      </c>
      <c r="E36" s="73">
        <f t="shared" si="16"/>
        <v>208.84411764705882</v>
      </c>
      <c r="F36" s="73">
        <f t="shared" si="16"/>
        <v>175.68111111111111</v>
      </c>
      <c r="G36" s="73">
        <f t="shared" si="16"/>
        <v>188.99961240310077</v>
      </c>
      <c r="H36" s="73">
        <f t="shared" si="16"/>
        <v>224.40308641975309</v>
      </c>
      <c r="I36" s="73">
        <f t="shared" si="16"/>
        <v>205.16815920398008</v>
      </c>
      <c r="J36" s="73">
        <f t="shared" si="16"/>
        <v>186.84294871794873</v>
      </c>
      <c r="K36" s="73">
        <f t="shared" si="16"/>
        <v>235.96873563218392</v>
      </c>
      <c r="L36" s="73">
        <f t="shared" si="16"/>
        <v>268.14456140350876</v>
      </c>
      <c r="M36" s="73">
        <f t="shared" si="16"/>
        <v>223.5885521885522</v>
      </c>
      <c r="N36" s="73">
        <f t="shared" si="16"/>
        <v>208.33561643835617</v>
      </c>
      <c r="O36" s="73">
        <f t="shared" si="16"/>
        <v>214.38827160493827</v>
      </c>
      <c r="P36" s="73">
        <f t="shared" si="16"/>
        <v>205.1516666666667</v>
      </c>
      <c r="Q36" s="73">
        <f t="shared" si="16"/>
        <v>210.02323823457692</v>
      </c>
      <c r="R36" s="73">
        <v>217.55626860572934</v>
      </c>
      <c r="S36" s="74">
        <v>207.58070200919877</v>
      </c>
    </row>
    <row r="37" spans="1:19" s="21" customFormat="1" ht="12.75" customHeight="1" thickTop="1">
      <c r="A37" s="28">
        <v>8</v>
      </c>
      <c r="B37" s="11" t="s">
        <v>46</v>
      </c>
      <c r="C37" s="29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5"/>
      <c r="S37" s="14"/>
    </row>
    <row r="38" spans="1:19" s="21" customFormat="1" ht="18" customHeight="1">
      <c r="A38" s="64"/>
      <c r="B38" s="17" t="s">
        <v>47</v>
      </c>
      <c r="C38" s="18"/>
      <c r="D38" s="13">
        <v>5776</v>
      </c>
      <c r="E38" s="13">
        <v>2236</v>
      </c>
      <c r="F38" s="13">
        <v>14033</v>
      </c>
      <c r="G38" s="13">
        <v>14646</v>
      </c>
      <c r="H38" s="13">
        <v>4986</v>
      </c>
      <c r="I38" s="13">
        <v>6937</v>
      </c>
      <c r="J38" s="13">
        <v>5012</v>
      </c>
      <c r="K38" s="13">
        <v>5020</v>
      </c>
      <c r="L38" s="13">
        <v>3946</v>
      </c>
      <c r="M38" s="13">
        <v>2270</v>
      </c>
      <c r="N38" s="13">
        <v>936</v>
      </c>
      <c r="O38" s="13">
        <v>610</v>
      </c>
      <c r="P38" s="13">
        <v>2366</v>
      </c>
      <c r="Q38" s="37">
        <f>SUM(D38:P38)</f>
        <v>68774</v>
      </c>
      <c r="R38" s="37">
        <v>65902</v>
      </c>
      <c r="S38" s="38">
        <v>73322</v>
      </c>
    </row>
    <row r="39" spans="1:19" s="21" customFormat="1" ht="18" customHeight="1">
      <c r="A39" s="64"/>
      <c r="B39" s="17" t="s">
        <v>48</v>
      </c>
      <c r="C39" s="18"/>
      <c r="D39" s="13">
        <v>944</v>
      </c>
      <c r="E39" s="13">
        <v>17508</v>
      </c>
      <c r="F39" s="13">
        <v>7735</v>
      </c>
      <c r="G39" s="13">
        <v>0</v>
      </c>
      <c r="H39" s="13">
        <v>832</v>
      </c>
      <c r="I39" s="13">
        <v>0</v>
      </c>
      <c r="J39" s="13">
        <v>502</v>
      </c>
      <c r="K39" s="13">
        <v>887</v>
      </c>
      <c r="L39" s="13">
        <v>0</v>
      </c>
      <c r="M39" s="13">
        <v>2642</v>
      </c>
      <c r="N39" s="13">
        <v>3621</v>
      </c>
      <c r="O39" s="13">
        <v>3540</v>
      </c>
      <c r="P39" s="13">
        <v>5641</v>
      </c>
      <c r="Q39" s="37">
        <f>SUM(D39:P39)</f>
        <v>43852</v>
      </c>
      <c r="R39" s="44">
        <v>46757</v>
      </c>
      <c r="S39" s="38">
        <v>48958</v>
      </c>
    </row>
    <row r="40" spans="1:19" s="21" customFormat="1" ht="18" customHeight="1">
      <c r="A40" s="64"/>
      <c r="B40" s="17" t="s">
        <v>49</v>
      </c>
      <c r="C40" s="67"/>
      <c r="D40" s="75">
        <f t="shared" ref="D40:P40" si="17">SUM(D38:D39)</f>
        <v>6720</v>
      </c>
      <c r="E40" s="75">
        <f t="shared" si="17"/>
        <v>19744</v>
      </c>
      <c r="F40" s="75">
        <f t="shared" si="17"/>
        <v>21768</v>
      </c>
      <c r="G40" s="75">
        <f t="shared" si="17"/>
        <v>14646</v>
      </c>
      <c r="H40" s="75">
        <f t="shared" si="17"/>
        <v>5818</v>
      </c>
      <c r="I40" s="75">
        <f>SUM(I38:I39)</f>
        <v>6937</v>
      </c>
      <c r="J40" s="75">
        <f>SUM(J38:J39)</f>
        <v>5514</v>
      </c>
      <c r="K40" s="75">
        <f t="shared" si="17"/>
        <v>5907</v>
      </c>
      <c r="L40" s="75">
        <f t="shared" si="17"/>
        <v>3946</v>
      </c>
      <c r="M40" s="75">
        <f>SUM(M38:M39)</f>
        <v>4912</v>
      </c>
      <c r="N40" s="75">
        <f t="shared" si="17"/>
        <v>4557</v>
      </c>
      <c r="O40" s="75">
        <f t="shared" si="17"/>
        <v>4150</v>
      </c>
      <c r="P40" s="75">
        <f t="shared" si="17"/>
        <v>8007</v>
      </c>
      <c r="Q40" s="68">
        <f>SUM(D40:P40)</f>
        <v>112626</v>
      </c>
      <c r="R40" s="37">
        <v>112659</v>
      </c>
      <c r="S40" s="38">
        <v>122280</v>
      </c>
    </row>
    <row r="41" spans="1:19" s="21" customFormat="1" ht="18" customHeight="1">
      <c r="A41" s="16"/>
      <c r="B41" s="17" t="s">
        <v>50</v>
      </c>
      <c r="C41" s="18"/>
      <c r="D41" s="63">
        <f t="shared" ref="D41:P41" si="18">ROUND((D38)/$C5,0)</f>
        <v>193</v>
      </c>
      <c r="E41" s="63">
        <f t="shared" si="18"/>
        <v>75</v>
      </c>
      <c r="F41" s="63">
        <f t="shared" si="18"/>
        <v>468</v>
      </c>
      <c r="G41" s="63">
        <f t="shared" si="18"/>
        <v>488</v>
      </c>
      <c r="H41" s="63">
        <f t="shared" si="18"/>
        <v>166</v>
      </c>
      <c r="I41" s="63">
        <f t="shared" si="18"/>
        <v>231</v>
      </c>
      <c r="J41" s="63">
        <f t="shared" si="18"/>
        <v>167</v>
      </c>
      <c r="K41" s="63">
        <f t="shared" si="18"/>
        <v>167</v>
      </c>
      <c r="L41" s="63">
        <f t="shared" si="18"/>
        <v>132</v>
      </c>
      <c r="M41" s="63">
        <f t="shared" si="18"/>
        <v>76</v>
      </c>
      <c r="N41" s="63">
        <f t="shared" si="18"/>
        <v>31</v>
      </c>
      <c r="O41" s="63">
        <f t="shared" si="18"/>
        <v>20</v>
      </c>
      <c r="P41" s="63">
        <f t="shared" si="18"/>
        <v>79</v>
      </c>
      <c r="Q41" s="37">
        <f>Q38/C5</f>
        <v>2292.4666666666667</v>
      </c>
      <c r="R41" s="37">
        <v>2125.8709677419356</v>
      </c>
      <c r="S41" s="38">
        <v>2444.0666666666666</v>
      </c>
    </row>
    <row r="42" spans="1:19" s="21" customFormat="1" ht="18" customHeight="1">
      <c r="A42" s="16"/>
      <c r="B42" s="17" t="s">
        <v>51</v>
      </c>
      <c r="C42" s="18"/>
      <c r="D42" s="37">
        <f>SUM(D39/C5)</f>
        <v>31.466666666666665</v>
      </c>
      <c r="E42" s="37">
        <f>SUM(E39/C5)</f>
        <v>583.6</v>
      </c>
      <c r="F42" s="37">
        <f>SUM(F39/C5)</f>
        <v>257.83333333333331</v>
      </c>
      <c r="G42" s="37">
        <f>SUM(G39/C5)</f>
        <v>0</v>
      </c>
      <c r="H42" s="37">
        <f>SUM(H39/C5)</f>
        <v>27.733333333333334</v>
      </c>
      <c r="I42" s="37">
        <f>SUM(I39/C5)</f>
        <v>0</v>
      </c>
      <c r="J42" s="37">
        <f>SUM(J39/C5)</f>
        <v>16.733333333333334</v>
      </c>
      <c r="K42" s="37">
        <f>SUM(K39/C5)</f>
        <v>29.566666666666666</v>
      </c>
      <c r="L42" s="37">
        <f>SUM(L39/C5)</f>
        <v>0</v>
      </c>
      <c r="M42" s="37">
        <f>SUM(M39/C5)</f>
        <v>88.066666666666663</v>
      </c>
      <c r="N42" s="37">
        <f>SUM(N39/C5)</f>
        <v>120.7</v>
      </c>
      <c r="O42" s="37">
        <f>SUM(O39/C5)</f>
        <v>118</v>
      </c>
      <c r="P42" s="37">
        <f>SUM(P39/C5)</f>
        <v>188.03333333333333</v>
      </c>
      <c r="Q42" s="37">
        <f>Q39/C5</f>
        <v>1461.7333333333333</v>
      </c>
      <c r="R42" s="37">
        <v>1508.2903225806451</v>
      </c>
      <c r="S42" s="38">
        <v>1631.9333333333334</v>
      </c>
    </row>
    <row r="43" spans="1:19" s="21" customFormat="1" ht="25.5">
      <c r="A43" s="16"/>
      <c r="B43" s="17" t="s">
        <v>52</v>
      </c>
      <c r="C43" s="18"/>
      <c r="D43" s="37">
        <f t="shared" ref="D43:P43" si="19">SUM(D41:D42)</f>
        <v>224.46666666666667</v>
      </c>
      <c r="E43" s="37">
        <f t="shared" si="19"/>
        <v>658.6</v>
      </c>
      <c r="F43" s="37">
        <f t="shared" si="19"/>
        <v>725.83333333333326</v>
      </c>
      <c r="G43" s="37">
        <f t="shared" si="19"/>
        <v>488</v>
      </c>
      <c r="H43" s="37">
        <f t="shared" si="19"/>
        <v>193.73333333333335</v>
      </c>
      <c r="I43" s="37">
        <f>SUM(I41:I42)</f>
        <v>231</v>
      </c>
      <c r="J43" s="37">
        <f>SUM(J41:J42)</f>
        <v>183.73333333333335</v>
      </c>
      <c r="K43" s="37">
        <f t="shared" si="19"/>
        <v>196.56666666666666</v>
      </c>
      <c r="L43" s="37">
        <f t="shared" si="19"/>
        <v>132</v>
      </c>
      <c r="M43" s="37">
        <f>SUM(M41:M42)</f>
        <v>164.06666666666666</v>
      </c>
      <c r="N43" s="37">
        <f t="shared" si="19"/>
        <v>151.69999999999999</v>
      </c>
      <c r="O43" s="37">
        <f t="shared" si="19"/>
        <v>138</v>
      </c>
      <c r="P43" s="37">
        <f t="shared" si="19"/>
        <v>267.0333333333333</v>
      </c>
      <c r="Q43" s="37">
        <f>Q40/C5</f>
        <v>3754.2</v>
      </c>
      <c r="R43" s="37">
        <v>3634.1612903225805</v>
      </c>
      <c r="S43" s="38">
        <v>4076</v>
      </c>
    </row>
    <row r="44" spans="1:19" s="21" customFormat="1" ht="18" customHeight="1">
      <c r="A44" s="16"/>
      <c r="B44" s="17" t="s">
        <v>53</v>
      </c>
      <c r="C44" s="18"/>
      <c r="D44" s="13">
        <v>12516</v>
      </c>
      <c r="E44" s="13">
        <v>16680</v>
      </c>
      <c r="F44" s="13">
        <v>15010</v>
      </c>
      <c r="G44" s="13">
        <v>12990</v>
      </c>
      <c r="H44" s="13">
        <v>5580</v>
      </c>
      <c r="I44" s="13">
        <v>6480</v>
      </c>
      <c r="J44" s="13">
        <v>2170</v>
      </c>
      <c r="K44" s="13">
        <v>4620</v>
      </c>
      <c r="L44" s="13">
        <v>3360</v>
      </c>
      <c r="M44" s="13">
        <v>9000</v>
      </c>
      <c r="N44" s="13">
        <v>1800</v>
      </c>
      <c r="O44" s="13">
        <v>1800</v>
      </c>
      <c r="P44" s="13">
        <v>3364</v>
      </c>
      <c r="Q44" s="76">
        <f>SUM(D44:P44)</f>
        <v>95370</v>
      </c>
      <c r="R44" s="37">
        <v>95292</v>
      </c>
      <c r="S44" s="117">
        <v>97648</v>
      </c>
    </row>
    <row r="45" spans="1:19" s="21" customFormat="1" ht="18" customHeight="1">
      <c r="A45" s="77"/>
      <c r="B45" s="78" t="s">
        <v>54</v>
      </c>
      <c r="C45" s="79"/>
      <c r="D45" s="80">
        <f t="shared" ref="D45:P45" si="20">ROUND((D44)/$C5,0)</f>
        <v>417</v>
      </c>
      <c r="E45" s="80">
        <f t="shared" si="20"/>
        <v>556</v>
      </c>
      <c r="F45" s="80">
        <f t="shared" si="20"/>
        <v>500</v>
      </c>
      <c r="G45" s="80">
        <f t="shared" si="20"/>
        <v>433</v>
      </c>
      <c r="H45" s="80">
        <f t="shared" si="20"/>
        <v>186</v>
      </c>
      <c r="I45" s="80">
        <f t="shared" si="20"/>
        <v>216</v>
      </c>
      <c r="J45" s="80">
        <f t="shared" si="20"/>
        <v>72</v>
      </c>
      <c r="K45" s="80">
        <f t="shared" si="20"/>
        <v>154</v>
      </c>
      <c r="L45" s="80">
        <f t="shared" si="20"/>
        <v>112</v>
      </c>
      <c r="M45" s="80">
        <f t="shared" si="20"/>
        <v>300</v>
      </c>
      <c r="N45" s="80">
        <f t="shared" si="20"/>
        <v>60</v>
      </c>
      <c r="O45" s="80">
        <f t="shared" si="20"/>
        <v>60</v>
      </c>
      <c r="P45" s="80">
        <f t="shared" si="20"/>
        <v>112</v>
      </c>
      <c r="Q45" s="59">
        <f>Q44/C5</f>
        <v>3179</v>
      </c>
      <c r="R45" s="59">
        <v>3073.9354838709678</v>
      </c>
      <c r="S45" s="60">
        <v>3254.9333333333334</v>
      </c>
    </row>
    <row r="46" spans="1:19" ht="18" customHeight="1">
      <c r="A46" s="81">
        <v>9</v>
      </c>
      <c r="B46" s="82" t="s">
        <v>55</v>
      </c>
      <c r="C46" s="83"/>
      <c r="D46" s="13">
        <v>524521</v>
      </c>
      <c r="E46" s="13">
        <v>86470</v>
      </c>
      <c r="F46" s="13">
        <v>452512</v>
      </c>
      <c r="G46" s="13">
        <v>540076</v>
      </c>
      <c r="H46" s="13">
        <v>564464</v>
      </c>
      <c r="I46" s="13">
        <v>347700</v>
      </c>
      <c r="J46" s="13">
        <v>454647</v>
      </c>
      <c r="K46" s="13">
        <v>374373</v>
      </c>
      <c r="L46" s="13">
        <v>375597</v>
      </c>
      <c r="M46" s="13">
        <v>127373</v>
      </c>
      <c r="N46" s="13">
        <v>51832</v>
      </c>
      <c r="O46" s="13">
        <v>39758</v>
      </c>
      <c r="P46" s="13">
        <v>103129</v>
      </c>
      <c r="Q46" s="45">
        <f>SUM(D46:P46)</f>
        <v>4042452</v>
      </c>
      <c r="R46" s="169">
        <v>4100137</v>
      </c>
      <c r="S46" s="46">
        <v>4087396</v>
      </c>
    </row>
    <row r="47" spans="1:19" ht="18" customHeight="1">
      <c r="A47" s="16"/>
      <c r="B47" s="11" t="s">
        <v>56</v>
      </c>
      <c r="C47" s="18"/>
      <c r="D47" s="13">
        <v>72894</v>
      </c>
      <c r="E47" s="13">
        <v>582506</v>
      </c>
      <c r="F47" s="13">
        <v>113359</v>
      </c>
      <c r="G47" s="13">
        <v>0</v>
      </c>
      <c r="H47" s="13">
        <v>68116</v>
      </c>
      <c r="I47" s="13">
        <v>0</v>
      </c>
      <c r="J47" s="13">
        <v>12111</v>
      </c>
      <c r="K47" s="13">
        <v>72226</v>
      </c>
      <c r="L47" s="13">
        <v>0</v>
      </c>
      <c r="M47" s="13">
        <v>428085</v>
      </c>
      <c r="N47" s="13">
        <v>213703</v>
      </c>
      <c r="O47" s="13">
        <v>240012</v>
      </c>
      <c r="P47" s="13">
        <v>154424</v>
      </c>
      <c r="Q47" s="37">
        <f>SUM(D47:P47)</f>
        <v>1957436</v>
      </c>
      <c r="R47" s="37">
        <v>2097959</v>
      </c>
      <c r="S47" s="38">
        <v>1931349</v>
      </c>
    </row>
    <row r="48" spans="1:19" s="57" customFormat="1" ht="25.5">
      <c r="A48" s="54"/>
      <c r="B48" s="55" t="s">
        <v>57</v>
      </c>
      <c r="C48" s="56"/>
      <c r="D48" s="84">
        <f t="shared" ref="D48:P48" si="21">SUM(D46:D47)</f>
        <v>597415</v>
      </c>
      <c r="E48" s="84">
        <f t="shared" si="21"/>
        <v>668976</v>
      </c>
      <c r="F48" s="84">
        <f t="shared" si="21"/>
        <v>565871</v>
      </c>
      <c r="G48" s="84">
        <f t="shared" si="21"/>
        <v>540076</v>
      </c>
      <c r="H48" s="84">
        <f t="shared" si="21"/>
        <v>632580</v>
      </c>
      <c r="I48" s="84">
        <f>SUM(I46:I47)</f>
        <v>347700</v>
      </c>
      <c r="J48" s="84">
        <f>SUM(J46:J47)</f>
        <v>466758</v>
      </c>
      <c r="K48" s="84">
        <f t="shared" si="21"/>
        <v>446599</v>
      </c>
      <c r="L48" s="84">
        <f t="shared" si="21"/>
        <v>375597</v>
      </c>
      <c r="M48" s="84">
        <f>SUM(M46:M47)</f>
        <v>555458</v>
      </c>
      <c r="N48" s="84">
        <f t="shared" si="21"/>
        <v>265535</v>
      </c>
      <c r="O48" s="84">
        <f t="shared" si="21"/>
        <v>279770</v>
      </c>
      <c r="P48" s="84">
        <f t="shared" si="21"/>
        <v>257553</v>
      </c>
      <c r="Q48" s="85">
        <f>SUM(D48:P48)</f>
        <v>5999888</v>
      </c>
      <c r="R48" s="170">
        <v>6198096</v>
      </c>
      <c r="S48" s="172">
        <v>6018745</v>
      </c>
    </row>
    <row r="49" spans="1:19" ht="25.5">
      <c r="A49" s="28"/>
      <c r="B49" s="11" t="s">
        <v>58</v>
      </c>
      <c r="C49" s="29"/>
      <c r="D49" s="45">
        <f>SUM(D46/C5)</f>
        <v>17484.033333333333</v>
      </c>
      <c r="E49" s="45">
        <f>SUM(E46/C5)</f>
        <v>2882.3333333333335</v>
      </c>
      <c r="F49" s="45">
        <f>SUM(F46/C5)</f>
        <v>15083.733333333334</v>
      </c>
      <c r="G49" s="45">
        <f>SUM(G46/C5)</f>
        <v>18002.533333333333</v>
      </c>
      <c r="H49" s="45">
        <f>SUM(H46/C5)</f>
        <v>18815.466666666667</v>
      </c>
      <c r="I49" s="45">
        <f>SUM(I46/C5)</f>
        <v>11590</v>
      </c>
      <c r="J49" s="45">
        <f>SUM(J46/C5)</f>
        <v>15154.9</v>
      </c>
      <c r="K49" s="45">
        <f>SUM(K46/C5)</f>
        <v>12479.1</v>
      </c>
      <c r="L49" s="45">
        <f>SUM(L46/C5)</f>
        <v>12519.9</v>
      </c>
      <c r="M49" s="45">
        <f>SUM(M46/C5)</f>
        <v>4245.7666666666664</v>
      </c>
      <c r="N49" s="45">
        <f>SUM(N46/C5)</f>
        <v>1727.7333333333333</v>
      </c>
      <c r="O49" s="45">
        <f>SUM(O46/C5)</f>
        <v>1325.2666666666667</v>
      </c>
      <c r="P49" s="45">
        <f>SUM(P46/C5)</f>
        <v>3437.6333333333332</v>
      </c>
      <c r="Q49" s="45">
        <f>Q46/C5</f>
        <v>134748.4</v>
      </c>
      <c r="R49" s="37">
        <v>132262.48387096773</v>
      </c>
      <c r="S49" s="46">
        <v>136246.53333333333</v>
      </c>
    </row>
    <row r="50" spans="1:19" ht="18" customHeight="1">
      <c r="A50" s="16"/>
      <c r="B50" s="11" t="s">
        <v>59</v>
      </c>
      <c r="C50" s="18"/>
      <c r="D50" s="37">
        <f>SUM(D47/C5)</f>
        <v>2429.8000000000002</v>
      </c>
      <c r="E50" s="37">
        <f>SUM(E47/C5)</f>
        <v>19416.866666666665</v>
      </c>
      <c r="F50" s="37">
        <f>SUM(F47/C5)</f>
        <v>3778.6333333333332</v>
      </c>
      <c r="G50" s="37">
        <f>SUM(G47/C5)</f>
        <v>0</v>
      </c>
      <c r="H50" s="37">
        <f>SUM(H47/C5)</f>
        <v>2270.5333333333333</v>
      </c>
      <c r="I50" s="37">
        <f>SUM(I47/C5)</f>
        <v>0</v>
      </c>
      <c r="J50" s="37">
        <f>SUM(J47/C5)</f>
        <v>403.7</v>
      </c>
      <c r="K50" s="37">
        <f>SUM(K47/C5)</f>
        <v>2407.5333333333333</v>
      </c>
      <c r="L50" s="37">
        <f>SUM(L47/C5)</f>
        <v>0</v>
      </c>
      <c r="M50" s="37">
        <f>SUM(M47/C5)</f>
        <v>14269.5</v>
      </c>
      <c r="N50" s="37">
        <f>SUM(N47/C5)</f>
        <v>7123.4333333333334</v>
      </c>
      <c r="O50" s="37">
        <f>SUM(O47/C5)</f>
        <v>8000.4</v>
      </c>
      <c r="P50" s="37">
        <f>SUM(P47/C5)</f>
        <v>5147.4666666666662</v>
      </c>
      <c r="Q50" s="37">
        <f>Q47/C5</f>
        <v>65247.866666666669</v>
      </c>
      <c r="R50" s="36">
        <v>67676.096774193546</v>
      </c>
      <c r="S50" s="38">
        <v>64378.3</v>
      </c>
    </row>
    <row r="51" spans="1:19">
      <c r="A51" s="39"/>
      <c r="B51" s="40" t="s">
        <v>60</v>
      </c>
      <c r="C51" s="41"/>
      <c r="D51" s="59">
        <f t="shared" ref="D51:P51" si="22">SUM(D49:D50)</f>
        <v>19913.833333333332</v>
      </c>
      <c r="E51" s="59">
        <f t="shared" si="22"/>
        <v>22299.199999999997</v>
      </c>
      <c r="F51" s="59">
        <f t="shared" si="22"/>
        <v>18862.366666666669</v>
      </c>
      <c r="G51" s="59">
        <f t="shared" si="22"/>
        <v>18002.533333333333</v>
      </c>
      <c r="H51" s="59">
        <f t="shared" si="22"/>
        <v>21086</v>
      </c>
      <c r="I51" s="59">
        <f>SUM(I49:I50)</f>
        <v>11590</v>
      </c>
      <c r="J51" s="59">
        <f>SUM(J49:J50)</f>
        <v>15558.6</v>
      </c>
      <c r="K51" s="59">
        <f t="shared" si="22"/>
        <v>14886.633333333333</v>
      </c>
      <c r="L51" s="59">
        <f t="shared" si="22"/>
        <v>12519.9</v>
      </c>
      <c r="M51" s="59">
        <f>SUM(M49:M50)</f>
        <v>18515.266666666666</v>
      </c>
      <c r="N51" s="59">
        <f t="shared" si="22"/>
        <v>8851.1666666666661</v>
      </c>
      <c r="O51" s="59">
        <f t="shared" si="22"/>
        <v>9325.6666666666661</v>
      </c>
      <c r="P51" s="59">
        <f t="shared" si="22"/>
        <v>8585.0999999999985</v>
      </c>
      <c r="Q51" s="59">
        <f>Q48/C5</f>
        <v>199996.26666666666</v>
      </c>
      <c r="R51" s="59">
        <v>199938.5806451613</v>
      </c>
      <c r="S51" s="60">
        <v>200624.83333333334</v>
      </c>
    </row>
    <row r="52" spans="1:19" s="33" customFormat="1">
      <c r="A52" s="65">
        <v>10</v>
      </c>
      <c r="B52" s="66" t="s">
        <v>61</v>
      </c>
      <c r="C52" s="86"/>
      <c r="D52" s="45">
        <f t="shared" ref="D52:Q52" si="23">D27-D34</f>
        <v>306920</v>
      </c>
      <c r="E52" s="45">
        <f t="shared" si="23"/>
        <v>366960</v>
      </c>
      <c r="F52" s="45">
        <f t="shared" si="23"/>
        <v>311873</v>
      </c>
      <c r="G52" s="45">
        <f t="shared" si="23"/>
        <v>275294</v>
      </c>
      <c r="H52" s="45">
        <f t="shared" si="23"/>
        <v>241310</v>
      </c>
      <c r="I52" s="45">
        <f t="shared" si="23"/>
        <v>66430</v>
      </c>
      <c r="J52" s="45">
        <f t="shared" si="23"/>
        <v>183436</v>
      </c>
      <c r="K52" s="45">
        <f t="shared" si="23"/>
        <v>364129</v>
      </c>
      <c r="L52" s="45">
        <f t="shared" si="23"/>
        <v>34898</v>
      </c>
      <c r="M52" s="45">
        <f t="shared" si="23"/>
        <v>271650</v>
      </c>
      <c r="N52" s="45">
        <f t="shared" si="23"/>
        <v>99153</v>
      </c>
      <c r="O52" s="45">
        <f t="shared" si="23"/>
        <v>139969</v>
      </c>
      <c r="P52" s="45">
        <f t="shared" si="23"/>
        <v>25471</v>
      </c>
      <c r="Q52" s="45">
        <f t="shared" si="23"/>
        <v>2687493</v>
      </c>
      <c r="R52" s="45">
        <v>2986901.5500000026</v>
      </c>
      <c r="S52" s="46">
        <v>3424127.1999999993</v>
      </c>
    </row>
    <row r="53" spans="1:19">
      <c r="A53" s="39"/>
      <c r="B53" s="40" t="s">
        <v>62</v>
      </c>
      <c r="C53" s="41"/>
      <c r="D53" s="59">
        <f>SUM(D52/C5)</f>
        <v>10230.666666666666</v>
      </c>
      <c r="E53" s="59">
        <f>SUM(E52/C5)</f>
        <v>12232</v>
      </c>
      <c r="F53" s="59">
        <f>SUM(F52/C5)</f>
        <v>10395.766666666666</v>
      </c>
      <c r="G53" s="59">
        <f>SUM(G52/C5)</f>
        <v>9176.4666666666672</v>
      </c>
      <c r="H53" s="59">
        <f>SUM(H52/C5)</f>
        <v>8043.666666666667</v>
      </c>
      <c r="I53" s="59">
        <f>SUM(I52/C5)</f>
        <v>2214.3333333333335</v>
      </c>
      <c r="J53" s="59">
        <f>SUM(J52/C5)</f>
        <v>6114.5333333333338</v>
      </c>
      <c r="K53" s="59">
        <f>SUM(K52/C5)</f>
        <v>12137.633333333333</v>
      </c>
      <c r="L53" s="59">
        <f>SUM(L52/C5)</f>
        <v>1163.2666666666667</v>
      </c>
      <c r="M53" s="59">
        <f>SUM(M52/C5)</f>
        <v>9055</v>
      </c>
      <c r="N53" s="59">
        <f>SUM(N52/C5)</f>
        <v>3305.1</v>
      </c>
      <c r="O53" s="59">
        <f>SUM(O52/C5)</f>
        <v>4665.6333333333332</v>
      </c>
      <c r="P53" s="59">
        <f>SUM(P52/C5)</f>
        <v>849.0333333333333</v>
      </c>
      <c r="Q53" s="59">
        <f>SUM(Q52/C5)</f>
        <v>89583.1</v>
      </c>
      <c r="R53" s="59">
        <v>96351.662903225893</v>
      </c>
      <c r="S53" s="60">
        <v>114137.5733333333</v>
      </c>
    </row>
    <row r="54" spans="1:19" s="15" customFormat="1" ht="25.5">
      <c r="A54" s="10">
        <v>11</v>
      </c>
      <c r="B54" s="11" t="s">
        <v>63</v>
      </c>
      <c r="C54" s="35"/>
      <c r="D54" s="13">
        <v>27938560</v>
      </c>
      <c r="E54" s="13">
        <v>41054696</v>
      </c>
      <c r="F54" s="13">
        <v>29440776</v>
      </c>
      <c r="G54" s="13">
        <v>47642962</v>
      </c>
      <c r="H54" s="13">
        <v>29722210</v>
      </c>
      <c r="I54" s="13">
        <v>17772967</v>
      </c>
      <c r="J54" s="13">
        <v>26525359</v>
      </c>
      <c r="K54" s="13">
        <v>34806590</v>
      </c>
      <c r="L54" s="13">
        <v>27803435</v>
      </c>
      <c r="M54" s="13">
        <v>22818840</v>
      </c>
      <c r="N54" s="13">
        <v>19222135</v>
      </c>
      <c r="O54" s="13">
        <v>14480310</v>
      </c>
      <c r="P54" s="13">
        <v>9385823</v>
      </c>
      <c r="Q54" s="87">
        <f>SUM(D54:P54)</f>
        <v>348614663</v>
      </c>
      <c r="R54" s="45">
        <v>338777173</v>
      </c>
      <c r="S54" s="173">
        <v>346824258</v>
      </c>
    </row>
    <row r="55" spans="1:19" s="21" customFormat="1">
      <c r="A55" s="16"/>
      <c r="B55" s="17" t="s">
        <v>64</v>
      </c>
      <c r="C55" s="18"/>
      <c r="D55" s="44">
        <f t="shared" ref="D55:P55" si="24">ROUND((D54)/$C5,0)</f>
        <v>931285</v>
      </c>
      <c r="E55" s="44">
        <f t="shared" si="24"/>
        <v>1368490</v>
      </c>
      <c r="F55" s="44">
        <f t="shared" si="24"/>
        <v>981359</v>
      </c>
      <c r="G55" s="44">
        <f t="shared" si="24"/>
        <v>1588099</v>
      </c>
      <c r="H55" s="44">
        <f t="shared" si="24"/>
        <v>990740</v>
      </c>
      <c r="I55" s="44">
        <f t="shared" si="24"/>
        <v>592432</v>
      </c>
      <c r="J55" s="44">
        <f t="shared" si="24"/>
        <v>884179</v>
      </c>
      <c r="K55" s="44">
        <f t="shared" si="24"/>
        <v>1160220</v>
      </c>
      <c r="L55" s="44">
        <f t="shared" si="24"/>
        <v>926781</v>
      </c>
      <c r="M55" s="44">
        <f t="shared" si="24"/>
        <v>760628</v>
      </c>
      <c r="N55" s="44">
        <f t="shared" si="24"/>
        <v>640738</v>
      </c>
      <c r="O55" s="44">
        <f t="shared" si="24"/>
        <v>482677</v>
      </c>
      <c r="P55" s="44">
        <f t="shared" si="24"/>
        <v>312861</v>
      </c>
      <c r="Q55" s="45">
        <f>SUM(D55:P55)</f>
        <v>11620489</v>
      </c>
      <c r="R55" s="37">
        <v>10928294</v>
      </c>
      <c r="S55" s="46">
        <v>11560809</v>
      </c>
    </row>
    <row r="56" spans="1:19" s="15" customFormat="1">
      <c r="A56" s="88"/>
      <c r="B56" s="50" t="s">
        <v>65</v>
      </c>
      <c r="C56" s="89"/>
      <c r="D56" s="90">
        <f>SUM(D55/D65)</f>
        <v>14.074339947709653</v>
      </c>
      <c r="E56" s="90">
        <f t="shared" ref="E56:Q56" si="25">SUM(E55/E65)</f>
        <v>15.235627916193971</v>
      </c>
      <c r="F56" s="90">
        <f t="shared" si="25"/>
        <v>13.236280306872255</v>
      </c>
      <c r="G56" s="90">
        <f t="shared" si="25"/>
        <v>13.1715568506349</v>
      </c>
      <c r="H56" s="90">
        <f t="shared" si="25"/>
        <v>14.309242595442853</v>
      </c>
      <c r="I56" s="90">
        <f>SUM(I55/I65)</f>
        <v>12.636725151853634</v>
      </c>
      <c r="J56" s="90">
        <f>SUM(J55/J65)</f>
        <v>13.947624966873208</v>
      </c>
      <c r="K56" s="90">
        <f t="shared" si="25"/>
        <v>15.253515312414271</v>
      </c>
      <c r="L56" s="90">
        <f t="shared" si="25"/>
        <v>16.679742851692183</v>
      </c>
      <c r="M56" s="90">
        <f>SUM(M55/M65)</f>
        <v>14.774802307369065</v>
      </c>
      <c r="N56" s="90">
        <f t="shared" si="25"/>
        <v>13.442196946121813</v>
      </c>
      <c r="O56" s="90">
        <f t="shared" si="25"/>
        <v>14.350822528326907</v>
      </c>
      <c r="P56" s="90">
        <f t="shared" si="25"/>
        <v>13.625242430928962</v>
      </c>
      <c r="Q56" s="90">
        <f t="shared" si="25"/>
        <v>14.213200368174077</v>
      </c>
      <c r="R56" s="183">
        <v>14.371504302664302</v>
      </c>
      <c r="S56" s="91">
        <v>14.252952811603</v>
      </c>
    </row>
    <row r="57" spans="1:19" s="21" customFormat="1" ht="25.5">
      <c r="A57" s="77"/>
      <c r="B57" s="78" t="s">
        <v>66</v>
      </c>
      <c r="C57" s="79"/>
      <c r="D57" s="92">
        <f t="shared" ref="D57:Q57" si="26">SUM(D55/D17)</f>
        <v>7760.708333333333</v>
      </c>
      <c r="E57" s="92">
        <f t="shared" si="26"/>
        <v>8049.9411764705883</v>
      </c>
      <c r="F57" s="92">
        <f t="shared" si="26"/>
        <v>8177.9916666666668</v>
      </c>
      <c r="G57" s="92">
        <f t="shared" si="26"/>
        <v>9233.1337209302328</v>
      </c>
      <c r="H57" s="92">
        <f t="shared" si="26"/>
        <v>9173.5185185185182</v>
      </c>
      <c r="I57" s="92">
        <f t="shared" si="26"/>
        <v>8842.2686567164183</v>
      </c>
      <c r="J57" s="92">
        <f t="shared" si="26"/>
        <v>8501.7211538461543</v>
      </c>
      <c r="K57" s="92">
        <f t="shared" si="26"/>
        <v>8001.5172413793107</v>
      </c>
      <c r="L57" s="92">
        <f t="shared" si="26"/>
        <v>9755.589473684211</v>
      </c>
      <c r="M57" s="92">
        <f t="shared" si="26"/>
        <v>7683.1111111111113</v>
      </c>
      <c r="N57" s="92">
        <f t="shared" si="26"/>
        <v>8777.232876712329</v>
      </c>
      <c r="O57" s="92">
        <f t="shared" si="26"/>
        <v>8938.4629629629635</v>
      </c>
      <c r="P57" s="92">
        <f t="shared" si="26"/>
        <v>7821.5249999999996</v>
      </c>
      <c r="Q57" s="92">
        <f t="shared" si="26"/>
        <v>8500.7234820775429</v>
      </c>
      <c r="R57" s="59">
        <v>8266.4856278366115</v>
      </c>
      <c r="S57" s="93">
        <v>8395.6492374727677</v>
      </c>
    </row>
    <row r="58" spans="1:19" s="21" customFormat="1">
      <c r="A58" s="81">
        <v>12</v>
      </c>
      <c r="B58" s="82" t="s">
        <v>67</v>
      </c>
      <c r="C58" s="83"/>
      <c r="D58" s="94">
        <f t="shared" ref="D58:Q58" si="27">SUM(D54)/D34</f>
        <v>39.163972895003184</v>
      </c>
      <c r="E58" s="94">
        <f t="shared" si="27"/>
        <v>38.545210096657136</v>
      </c>
      <c r="F58" s="94">
        <f t="shared" si="27"/>
        <v>46.550214087393194</v>
      </c>
      <c r="G58" s="94">
        <f t="shared" si="27"/>
        <v>48.852651352797984</v>
      </c>
      <c r="H58" s="94">
        <f t="shared" si="27"/>
        <v>40.879658793011913</v>
      </c>
      <c r="I58" s="94">
        <f t="shared" si="27"/>
        <v>43.097682279794753</v>
      </c>
      <c r="J58" s="94">
        <f t="shared" si="27"/>
        <v>45.501945278325756</v>
      </c>
      <c r="K58" s="94">
        <f t="shared" si="27"/>
        <v>33.909216494684664</v>
      </c>
      <c r="L58" s="94">
        <f t="shared" si="27"/>
        <v>36.38183514522148</v>
      </c>
      <c r="M58" s="94">
        <f t="shared" si="27"/>
        <v>34.362721328558649</v>
      </c>
      <c r="N58" s="94">
        <f t="shared" si="27"/>
        <v>42.13024514799838</v>
      </c>
      <c r="O58" s="94">
        <f t="shared" si="27"/>
        <v>41.692872917200532</v>
      </c>
      <c r="P58" s="94">
        <f t="shared" si="27"/>
        <v>38.125545328253082</v>
      </c>
      <c r="Q58" s="94">
        <f t="shared" si="27"/>
        <v>40.475155905809473</v>
      </c>
      <c r="R58" s="100">
        <v>37.997007029359153</v>
      </c>
      <c r="S58" s="95">
        <v>40.445228606145463</v>
      </c>
    </row>
    <row r="59" spans="1:19" s="15" customFormat="1">
      <c r="A59" s="88">
        <v>13</v>
      </c>
      <c r="B59" s="17" t="s">
        <v>68</v>
      </c>
      <c r="C59" s="8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92"/>
      <c r="S59" s="96"/>
    </row>
    <row r="60" spans="1:19" s="21" customFormat="1">
      <c r="A60" s="16"/>
      <c r="B60" s="17" t="s">
        <v>69</v>
      </c>
      <c r="C60" s="18"/>
      <c r="D60" s="97">
        <f>SUM(D58)/69.88*100</f>
        <v>56.044609180027457</v>
      </c>
      <c r="E60" s="97">
        <f t="shared" ref="E60:P60" si="28">SUM(E58)/69.88*100</f>
        <v>55.159144385599802</v>
      </c>
      <c r="F60" s="97">
        <f t="shared" si="28"/>
        <v>66.614502128496284</v>
      </c>
      <c r="G60" s="97">
        <f t="shared" si="28"/>
        <v>69.909346526614186</v>
      </c>
      <c r="H60" s="97">
        <f t="shared" si="28"/>
        <v>58.499797929324437</v>
      </c>
      <c r="I60" s="97">
        <f t="shared" si="28"/>
        <v>61.673844132505373</v>
      </c>
      <c r="J60" s="97">
        <f t="shared" si="28"/>
        <v>65.114403661027126</v>
      </c>
      <c r="K60" s="97">
        <f t="shared" si="28"/>
        <v>48.524923432576799</v>
      </c>
      <c r="L60" s="97">
        <f t="shared" si="28"/>
        <v>52.063301581599141</v>
      </c>
      <c r="M60" s="97">
        <f t="shared" si="28"/>
        <v>49.173900012247643</v>
      </c>
      <c r="N60" s="97">
        <f t="shared" si="28"/>
        <v>60.28941778477158</v>
      </c>
      <c r="O60" s="97">
        <f t="shared" si="28"/>
        <v>59.663527357184506</v>
      </c>
      <c r="P60" s="97">
        <f t="shared" si="28"/>
        <v>54.558593772543048</v>
      </c>
      <c r="Q60" s="97">
        <f>SUM(Q58)/69.88*100</f>
        <v>57.920944341456035</v>
      </c>
      <c r="R60" s="97">
        <v>54.382434563273442</v>
      </c>
      <c r="S60" s="98">
        <v>57.540515871596895</v>
      </c>
    </row>
    <row r="61" spans="1:19" s="27" customFormat="1" ht="60">
      <c r="A61" s="65"/>
      <c r="B61" s="99" t="s">
        <v>167</v>
      </c>
      <c r="C61" s="67"/>
      <c r="D61" s="100">
        <f>D129/69.88*100</f>
        <v>66.914817328924414</v>
      </c>
      <c r="E61" s="100">
        <f t="shared" ref="E61:P61" si="29">E129/69.88*100</f>
        <v>68.153462966602717</v>
      </c>
      <c r="F61" s="100">
        <f t="shared" si="29"/>
        <v>77.352978955068579</v>
      </c>
      <c r="G61" s="100">
        <f t="shared" si="29"/>
        <v>80.176308156423772</v>
      </c>
      <c r="H61" s="100">
        <f t="shared" si="29"/>
        <v>70.527201263246226</v>
      </c>
      <c r="I61" s="100">
        <f t="shared" si="29"/>
        <v>72.176381365099601</v>
      </c>
      <c r="J61" s="100">
        <f t="shared" si="29"/>
        <v>75.15451608272339</v>
      </c>
      <c r="K61" s="100">
        <f t="shared" si="29"/>
        <v>59.161135116157901</v>
      </c>
      <c r="L61" s="100">
        <f t="shared" si="29"/>
        <v>66.440931720320094</v>
      </c>
      <c r="M61" s="100">
        <f t="shared" si="29"/>
        <v>60.595825890366484</v>
      </c>
      <c r="N61" s="100">
        <f t="shared" si="29"/>
        <v>71.162264872810709</v>
      </c>
      <c r="O61" s="100">
        <f t="shared" si="29"/>
        <v>70.061422039357339</v>
      </c>
      <c r="P61" s="100">
        <f t="shared" si="29"/>
        <v>64.691005840739621</v>
      </c>
      <c r="Q61" s="100">
        <f>Q129/69.88*100</f>
        <v>69.2856041865751</v>
      </c>
      <c r="R61" s="90">
        <v>64.18951730784589</v>
      </c>
      <c r="S61" s="174">
        <v>69.563252168317263</v>
      </c>
    </row>
    <row r="62" spans="1:19" s="21" customFormat="1" ht="25.5">
      <c r="A62" s="16">
        <v>14</v>
      </c>
      <c r="B62" s="17" t="s">
        <v>71</v>
      </c>
      <c r="C62" s="89"/>
      <c r="D62" s="63" t="s">
        <v>72</v>
      </c>
      <c r="E62" s="63" t="s">
        <v>72</v>
      </c>
      <c r="F62" s="63" t="s">
        <v>72</v>
      </c>
      <c r="G62" s="63" t="s">
        <v>72</v>
      </c>
      <c r="H62" s="63" t="s">
        <v>72</v>
      </c>
      <c r="I62" s="63" t="s">
        <v>72</v>
      </c>
      <c r="J62" s="63" t="s">
        <v>72</v>
      </c>
      <c r="K62" s="63" t="s">
        <v>72</v>
      </c>
      <c r="L62" s="63" t="s">
        <v>72</v>
      </c>
      <c r="M62" s="63" t="s">
        <v>72</v>
      </c>
      <c r="N62" s="63" t="s">
        <v>72</v>
      </c>
      <c r="O62" s="63" t="s">
        <v>72</v>
      </c>
      <c r="P62" s="63" t="s">
        <v>72</v>
      </c>
      <c r="Q62" s="63">
        <v>76.98</v>
      </c>
      <c r="R62" s="97">
        <v>76.98</v>
      </c>
      <c r="S62" s="20">
        <v>85.19</v>
      </c>
    </row>
    <row r="63" spans="1:19" s="15" customFormat="1" ht="18" customHeight="1">
      <c r="A63" s="88">
        <v>15</v>
      </c>
      <c r="B63" s="17" t="s">
        <v>73</v>
      </c>
      <c r="C63" s="89"/>
      <c r="D63" s="90">
        <f t="shared" ref="D63:Q63" si="30">D15/D8*100</f>
        <v>73.880597014925371</v>
      </c>
      <c r="E63" s="90">
        <f t="shared" si="30"/>
        <v>70.063694267515913</v>
      </c>
      <c r="F63" s="90">
        <f t="shared" si="30"/>
        <v>59.523809523809526</v>
      </c>
      <c r="G63" s="90">
        <f t="shared" si="30"/>
        <v>76</v>
      </c>
      <c r="H63" s="90">
        <f t="shared" si="30"/>
        <v>70.634920634920633</v>
      </c>
      <c r="I63" s="90">
        <f t="shared" si="30"/>
        <v>72</v>
      </c>
      <c r="J63" s="90">
        <f t="shared" si="30"/>
        <v>75.22935779816514</v>
      </c>
      <c r="K63" s="90">
        <f t="shared" si="30"/>
        <v>65.591397849462368</v>
      </c>
      <c r="L63" s="90">
        <f t="shared" si="30"/>
        <v>81.132075471698116</v>
      </c>
      <c r="M63" s="90">
        <f t="shared" si="30"/>
        <v>61.363636363636367</v>
      </c>
      <c r="N63" s="90">
        <f t="shared" si="30"/>
        <v>64.179104477611943</v>
      </c>
      <c r="O63" s="90">
        <f t="shared" si="30"/>
        <v>65.625</v>
      </c>
      <c r="P63" s="90">
        <f t="shared" si="30"/>
        <v>65.573770491803273</v>
      </c>
      <c r="Q63" s="90">
        <f t="shared" si="30"/>
        <v>68.841642228739005</v>
      </c>
      <c r="R63" s="100">
        <v>66.080586080586073</v>
      </c>
      <c r="S63" s="91">
        <v>65.762004175365334</v>
      </c>
    </row>
    <row r="64" spans="1:19" s="15" customFormat="1" ht="25.5">
      <c r="A64" s="88">
        <v>16</v>
      </c>
      <c r="B64" s="17" t="s">
        <v>74</v>
      </c>
      <c r="C64" s="89"/>
      <c r="D64" s="90">
        <f t="shared" ref="D64:Q64" si="31">SUM(D51/D15)</f>
        <v>201.14983164983164</v>
      </c>
      <c r="E64" s="90">
        <f t="shared" si="31"/>
        <v>202.71999999999997</v>
      </c>
      <c r="F64" s="90">
        <f t="shared" si="31"/>
        <v>188.62366666666668</v>
      </c>
      <c r="G64" s="90">
        <f t="shared" si="31"/>
        <v>189.50035087719297</v>
      </c>
      <c r="H64" s="90">
        <f t="shared" si="31"/>
        <v>236.92134831460675</v>
      </c>
      <c r="I64" s="90">
        <f t="shared" si="31"/>
        <v>214.62962962962962</v>
      </c>
      <c r="J64" s="90">
        <f t="shared" si="31"/>
        <v>189.73902439024391</v>
      </c>
      <c r="K64" s="90">
        <f t="shared" si="31"/>
        <v>244.04316939890711</v>
      </c>
      <c r="L64" s="90">
        <f t="shared" si="31"/>
        <v>291.16046511627906</v>
      </c>
      <c r="M64" s="90">
        <f t="shared" si="31"/>
        <v>228.58353909465021</v>
      </c>
      <c r="N64" s="90">
        <f t="shared" si="31"/>
        <v>205.84108527131781</v>
      </c>
      <c r="O64" s="90">
        <f t="shared" si="31"/>
        <v>222.03968253968253</v>
      </c>
      <c r="P64" s="90">
        <f t="shared" si="31"/>
        <v>214.62749999999997</v>
      </c>
      <c r="Q64" s="90">
        <f t="shared" si="31"/>
        <v>212.98856940007099</v>
      </c>
      <c r="R64" s="97">
        <v>221.66139761104358</v>
      </c>
      <c r="S64" s="91">
        <v>212.30141093474427</v>
      </c>
    </row>
    <row r="65" spans="1:19" s="21" customFormat="1" ht="25.5">
      <c r="A65" s="28">
        <v>17</v>
      </c>
      <c r="B65" s="11" t="s">
        <v>75</v>
      </c>
      <c r="C65" s="35"/>
      <c r="D65" s="36">
        <v>66169</v>
      </c>
      <c r="E65" s="36">
        <v>89821.7</v>
      </c>
      <c r="F65" s="36">
        <v>74141.600000000006</v>
      </c>
      <c r="G65" s="36">
        <v>120570.33333333333</v>
      </c>
      <c r="H65" s="36">
        <v>69237.766666666663</v>
      </c>
      <c r="I65" s="36">
        <v>46881.76666666667</v>
      </c>
      <c r="J65" s="36">
        <v>63392.800000000003</v>
      </c>
      <c r="K65" s="36">
        <v>76062.46666666666</v>
      </c>
      <c r="L65" s="36">
        <v>55563.26666666667</v>
      </c>
      <c r="M65" s="36">
        <v>51481.433333333334</v>
      </c>
      <c r="N65" s="36">
        <v>47666.166666666664</v>
      </c>
      <c r="O65" s="36">
        <v>33634.1</v>
      </c>
      <c r="P65" s="36">
        <v>22961.866666666665</v>
      </c>
      <c r="Q65" s="45">
        <f>SUM(D65:P65)</f>
        <v>817584.26666666672</v>
      </c>
      <c r="R65" s="128">
        <v>760414.06451612909</v>
      </c>
      <c r="S65" s="46">
        <v>811116.7666666666</v>
      </c>
    </row>
    <row r="66" spans="1:19" s="15" customFormat="1">
      <c r="A66" s="51"/>
      <c r="B66" s="40" t="s">
        <v>76</v>
      </c>
      <c r="C66" s="53"/>
      <c r="D66" s="59">
        <f t="shared" ref="D66:Q66" si="32">SUM(D65/D17)</f>
        <v>551.4083333333333</v>
      </c>
      <c r="E66" s="59">
        <f t="shared" si="32"/>
        <v>528.3629411764706</v>
      </c>
      <c r="F66" s="59">
        <f t="shared" si="32"/>
        <v>617.84666666666669</v>
      </c>
      <c r="G66" s="59">
        <f t="shared" si="32"/>
        <v>700.99031007751933</v>
      </c>
      <c r="H66" s="59">
        <f t="shared" si="32"/>
        <v>641.0904320987654</v>
      </c>
      <c r="I66" s="59">
        <f t="shared" si="32"/>
        <v>699.7278606965175</v>
      </c>
      <c r="J66" s="59">
        <f t="shared" si="32"/>
        <v>609.54615384615386</v>
      </c>
      <c r="K66" s="59">
        <f t="shared" si="32"/>
        <v>524.56873563218392</v>
      </c>
      <c r="L66" s="59">
        <f t="shared" si="32"/>
        <v>584.87649122807022</v>
      </c>
      <c r="M66" s="59">
        <f t="shared" si="32"/>
        <v>520.01447811447815</v>
      </c>
      <c r="N66" s="59">
        <f t="shared" si="32"/>
        <v>652.96118721461187</v>
      </c>
      <c r="O66" s="59">
        <f t="shared" si="32"/>
        <v>622.85370370370367</v>
      </c>
      <c r="P66" s="59">
        <f t="shared" si="32"/>
        <v>574.04666666666662</v>
      </c>
      <c r="Q66" s="59">
        <f t="shared" si="32"/>
        <v>598.08651548402838</v>
      </c>
      <c r="R66" s="187">
        <v>575.19974623005226</v>
      </c>
      <c r="S66" s="60">
        <v>589.04630839990318</v>
      </c>
    </row>
    <row r="67" spans="1:19" s="21" customFormat="1" ht="26.25" thickBot="1">
      <c r="A67" s="190">
        <v>18</v>
      </c>
      <c r="B67" s="191" t="s">
        <v>77</v>
      </c>
      <c r="C67" s="192"/>
      <c r="D67" s="193" t="s">
        <v>72</v>
      </c>
      <c r="E67" s="193" t="s">
        <v>72</v>
      </c>
      <c r="F67" s="193" t="s">
        <v>72</v>
      </c>
      <c r="G67" s="193" t="s">
        <v>72</v>
      </c>
      <c r="H67" s="193" t="s">
        <v>72</v>
      </c>
      <c r="I67" s="193" t="s">
        <v>72</v>
      </c>
      <c r="J67" s="193" t="s">
        <v>72</v>
      </c>
      <c r="K67" s="193" t="s">
        <v>72</v>
      </c>
      <c r="L67" s="193" t="s">
        <v>72</v>
      </c>
      <c r="M67" s="193" t="s">
        <v>72</v>
      </c>
      <c r="N67" s="193" t="s">
        <v>72</v>
      </c>
      <c r="O67" s="193" t="s">
        <v>72</v>
      </c>
      <c r="P67" s="193" t="s">
        <v>72</v>
      </c>
      <c r="Q67" s="193">
        <v>483600</v>
      </c>
      <c r="R67" s="194">
        <v>534400</v>
      </c>
      <c r="S67" s="195">
        <v>512350</v>
      </c>
    </row>
    <row r="68" spans="1:19" s="15" customFormat="1" ht="18.95" customHeight="1" thickTop="1">
      <c r="A68" s="10">
        <v>19</v>
      </c>
      <c r="B68" s="11" t="s">
        <v>78</v>
      </c>
      <c r="C68" s="35"/>
      <c r="D68" s="13" t="s">
        <v>72</v>
      </c>
      <c r="E68" s="13" t="s">
        <v>72</v>
      </c>
      <c r="F68" s="13" t="s">
        <v>72</v>
      </c>
      <c r="G68" s="13" t="s">
        <v>72</v>
      </c>
      <c r="H68" s="13" t="s">
        <v>72</v>
      </c>
      <c r="I68" s="13" t="s">
        <v>72</v>
      </c>
      <c r="J68" s="13" t="s">
        <v>72</v>
      </c>
      <c r="K68" s="13" t="s">
        <v>72</v>
      </c>
      <c r="L68" s="13" t="s">
        <v>72</v>
      </c>
      <c r="M68" s="13" t="s">
        <v>72</v>
      </c>
      <c r="N68" s="13" t="s">
        <v>72</v>
      </c>
      <c r="O68" s="13" t="s">
        <v>72</v>
      </c>
      <c r="P68" s="13" t="s">
        <v>72</v>
      </c>
      <c r="Q68" s="13">
        <v>3</v>
      </c>
      <c r="R68" s="45">
        <v>5</v>
      </c>
      <c r="S68" s="58">
        <v>0</v>
      </c>
    </row>
    <row r="69" spans="1:19" s="15" customFormat="1" ht="18.95" customHeight="1">
      <c r="A69" s="51"/>
      <c r="B69" s="40" t="s">
        <v>79</v>
      </c>
      <c r="C69" s="53"/>
      <c r="D69" s="105" t="s">
        <v>72</v>
      </c>
      <c r="E69" s="105" t="s">
        <v>72</v>
      </c>
      <c r="F69" s="105" t="s">
        <v>72</v>
      </c>
      <c r="G69" s="105" t="s">
        <v>72</v>
      </c>
      <c r="H69" s="105" t="s">
        <v>72</v>
      </c>
      <c r="I69" s="105" t="s">
        <v>72</v>
      </c>
      <c r="J69" s="105" t="s">
        <v>72</v>
      </c>
      <c r="K69" s="105" t="s">
        <v>72</v>
      </c>
      <c r="L69" s="105" t="s">
        <v>72</v>
      </c>
      <c r="M69" s="105" t="s">
        <v>72</v>
      </c>
      <c r="N69" s="105" t="s">
        <v>72</v>
      </c>
      <c r="O69" s="105" t="s">
        <v>72</v>
      </c>
      <c r="P69" s="105" t="s">
        <v>72</v>
      </c>
      <c r="Q69" s="105">
        <v>63</v>
      </c>
      <c r="R69" s="80">
        <v>5</v>
      </c>
      <c r="S69" s="106">
        <v>0</v>
      </c>
    </row>
    <row r="70" spans="1:19" s="15" customFormat="1" ht="25.5">
      <c r="A70" s="10">
        <v>20</v>
      </c>
      <c r="B70" s="11" t="s">
        <v>80</v>
      </c>
      <c r="C70" s="35"/>
      <c r="D70" s="13" t="s">
        <v>72</v>
      </c>
      <c r="E70" s="13" t="s">
        <v>72</v>
      </c>
      <c r="F70" s="13" t="s">
        <v>72</v>
      </c>
      <c r="G70" s="13" t="s">
        <v>72</v>
      </c>
      <c r="H70" s="13" t="s">
        <v>72</v>
      </c>
      <c r="I70" s="13" t="s">
        <v>72</v>
      </c>
      <c r="J70" s="13" t="s">
        <v>72</v>
      </c>
      <c r="K70" s="13" t="s">
        <v>72</v>
      </c>
      <c r="L70" s="13" t="s">
        <v>72</v>
      </c>
      <c r="M70" s="13" t="s">
        <v>72</v>
      </c>
      <c r="N70" s="13" t="s">
        <v>72</v>
      </c>
      <c r="O70" s="13" t="s">
        <v>72</v>
      </c>
      <c r="P70" s="13" t="s">
        <v>72</v>
      </c>
      <c r="Q70" s="13">
        <v>9568</v>
      </c>
      <c r="R70" s="13">
        <v>3136</v>
      </c>
      <c r="S70" s="58">
        <v>11326</v>
      </c>
    </row>
    <row r="71" spans="1:19" s="21" customFormat="1" ht="25.5">
      <c r="A71" s="16"/>
      <c r="B71" s="17" t="s">
        <v>81</v>
      </c>
      <c r="C71" s="89"/>
      <c r="D71" s="63" t="s">
        <v>72</v>
      </c>
      <c r="E71" s="63" t="s">
        <v>72</v>
      </c>
      <c r="F71" s="63" t="s">
        <v>72</v>
      </c>
      <c r="G71" s="63" t="s">
        <v>72</v>
      </c>
      <c r="H71" s="63" t="s">
        <v>72</v>
      </c>
      <c r="I71" s="63" t="s">
        <v>72</v>
      </c>
      <c r="J71" s="63" t="s">
        <v>72</v>
      </c>
      <c r="K71" s="63" t="s">
        <v>72</v>
      </c>
      <c r="L71" s="63" t="s">
        <v>72</v>
      </c>
      <c r="M71" s="63" t="s">
        <v>72</v>
      </c>
      <c r="N71" s="63" t="s">
        <v>72</v>
      </c>
      <c r="O71" s="63" t="s">
        <v>72</v>
      </c>
      <c r="P71" s="63" t="s">
        <v>72</v>
      </c>
      <c r="Q71" s="63">
        <v>6555450</v>
      </c>
      <c r="R71" s="19">
        <v>2297550</v>
      </c>
      <c r="S71" s="20">
        <v>8307450</v>
      </c>
    </row>
    <row r="72" spans="1:19" s="21" customFormat="1" ht="27.75" customHeight="1">
      <c r="A72" s="39"/>
      <c r="B72" s="40" t="s">
        <v>82</v>
      </c>
      <c r="C72" s="53"/>
      <c r="D72" s="80" t="s">
        <v>72</v>
      </c>
      <c r="E72" s="80" t="s">
        <v>72</v>
      </c>
      <c r="F72" s="80" t="s">
        <v>72</v>
      </c>
      <c r="G72" s="80" t="s">
        <v>72</v>
      </c>
      <c r="H72" s="80" t="s">
        <v>72</v>
      </c>
      <c r="I72" s="80" t="s">
        <v>72</v>
      </c>
      <c r="J72" s="80" t="s">
        <v>72</v>
      </c>
      <c r="K72" s="80" t="s">
        <v>72</v>
      </c>
      <c r="L72" s="80" t="s">
        <v>72</v>
      </c>
      <c r="M72" s="80" t="s">
        <v>72</v>
      </c>
      <c r="N72" s="80" t="s">
        <v>72</v>
      </c>
      <c r="O72" s="80" t="s">
        <v>72</v>
      </c>
      <c r="P72" s="80" t="s">
        <v>72</v>
      </c>
      <c r="Q72" s="107">
        <f>SUM(Q71/Q34)</f>
        <v>0.76110642765114767</v>
      </c>
      <c r="R72" s="42">
        <v>0.25769157563725265</v>
      </c>
      <c r="S72" s="108">
        <v>0.96878089301389958</v>
      </c>
    </row>
    <row r="73" spans="1:19" s="21" customFormat="1" ht="16.5" customHeight="1">
      <c r="A73" s="28">
        <v>21</v>
      </c>
      <c r="B73" s="11" t="s">
        <v>83</v>
      </c>
      <c r="C73" s="35"/>
      <c r="D73" s="44" t="s">
        <v>72</v>
      </c>
      <c r="E73" s="44" t="s">
        <v>72</v>
      </c>
      <c r="F73" s="44" t="s">
        <v>72</v>
      </c>
      <c r="G73" s="44" t="s">
        <v>72</v>
      </c>
      <c r="H73" s="44" t="s">
        <v>72</v>
      </c>
      <c r="I73" s="44" t="s">
        <v>72</v>
      </c>
      <c r="J73" s="44" t="s">
        <v>72</v>
      </c>
      <c r="K73" s="44" t="s">
        <v>72</v>
      </c>
      <c r="L73" s="44" t="s">
        <v>72</v>
      </c>
      <c r="M73" s="44" t="s">
        <v>72</v>
      </c>
      <c r="N73" s="44" t="s">
        <v>72</v>
      </c>
      <c r="O73" s="44" t="s">
        <v>72</v>
      </c>
      <c r="P73" s="44" t="s">
        <v>72</v>
      </c>
      <c r="Q73" s="44">
        <f>SUM(C74:C80)</f>
        <v>545086</v>
      </c>
      <c r="R73" s="44">
        <v>518395</v>
      </c>
      <c r="S73" s="14">
        <v>568842</v>
      </c>
    </row>
    <row r="74" spans="1:19" ht="30" customHeight="1">
      <c r="A74" s="16"/>
      <c r="B74" s="17" t="s">
        <v>84</v>
      </c>
      <c r="C74" s="89">
        <v>121171</v>
      </c>
      <c r="D74" s="63" t="s">
        <v>72</v>
      </c>
      <c r="E74" s="63" t="s">
        <v>72</v>
      </c>
      <c r="F74" s="63" t="s">
        <v>72</v>
      </c>
      <c r="G74" s="63" t="s">
        <v>72</v>
      </c>
      <c r="H74" s="63" t="s">
        <v>72</v>
      </c>
      <c r="I74" s="63" t="s">
        <v>72</v>
      </c>
      <c r="J74" s="63" t="s">
        <v>72</v>
      </c>
      <c r="K74" s="63" t="s">
        <v>72</v>
      </c>
      <c r="L74" s="63" t="s">
        <v>72</v>
      </c>
      <c r="M74" s="63" t="s">
        <v>72</v>
      </c>
      <c r="N74" s="63" t="s">
        <v>72</v>
      </c>
      <c r="O74" s="63" t="s">
        <v>72</v>
      </c>
      <c r="P74" s="63" t="s">
        <v>72</v>
      </c>
      <c r="Q74" s="63" t="s">
        <v>72</v>
      </c>
      <c r="R74" s="97" t="s">
        <v>72</v>
      </c>
      <c r="S74" s="20" t="s">
        <v>72</v>
      </c>
    </row>
    <row r="75" spans="1:19" ht="18.95" customHeight="1">
      <c r="A75" s="16"/>
      <c r="B75" s="17" t="s">
        <v>85</v>
      </c>
      <c r="C75" s="89">
        <v>394110</v>
      </c>
      <c r="D75" s="63" t="s">
        <v>72</v>
      </c>
      <c r="E75" s="63" t="s">
        <v>72</v>
      </c>
      <c r="F75" s="63" t="s">
        <v>72</v>
      </c>
      <c r="G75" s="63" t="s">
        <v>72</v>
      </c>
      <c r="H75" s="63" t="s">
        <v>72</v>
      </c>
      <c r="I75" s="63" t="s">
        <v>72</v>
      </c>
      <c r="J75" s="63" t="s">
        <v>72</v>
      </c>
      <c r="K75" s="63" t="s">
        <v>72</v>
      </c>
      <c r="L75" s="63" t="s">
        <v>72</v>
      </c>
      <c r="M75" s="63" t="s">
        <v>72</v>
      </c>
      <c r="N75" s="63" t="s">
        <v>72</v>
      </c>
      <c r="O75" s="63" t="s">
        <v>72</v>
      </c>
      <c r="P75" s="63" t="s">
        <v>72</v>
      </c>
      <c r="Q75" s="63" t="s">
        <v>72</v>
      </c>
      <c r="R75" s="44" t="s">
        <v>72</v>
      </c>
      <c r="S75" s="20" t="s">
        <v>72</v>
      </c>
    </row>
    <row r="76" spans="1:19" ht="31.5" customHeight="1">
      <c r="A76" s="16"/>
      <c r="B76" s="17" t="s">
        <v>86</v>
      </c>
      <c r="C76" s="89">
        <v>8595</v>
      </c>
      <c r="D76" s="63" t="s">
        <v>72</v>
      </c>
      <c r="E76" s="63" t="s">
        <v>72</v>
      </c>
      <c r="F76" s="63" t="s">
        <v>72</v>
      </c>
      <c r="G76" s="63" t="s">
        <v>72</v>
      </c>
      <c r="H76" s="63" t="s">
        <v>72</v>
      </c>
      <c r="I76" s="63" t="s">
        <v>72</v>
      </c>
      <c r="J76" s="63" t="s">
        <v>72</v>
      </c>
      <c r="K76" s="63" t="s">
        <v>72</v>
      </c>
      <c r="L76" s="63" t="s">
        <v>72</v>
      </c>
      <c r="M76" s="63" t="s">
        <v>72</v>
      </c>
      <c r="N76" s="63" t="s">
        <v>72</v>
      </c>
      <c r="O76" s="63" t="s">
        <v>72</v>
      </c>
      <c r="P76" s="63" t="s">
        <v>72</v>
      </c>
      <c r="Q76" s="63" t="s">
        <v>72</v>
      </c>
      <c r="R76" s="63" t="s">
        <v>72</v>
      </c>
      <c r="S76" s="20" t="s">
        <v>72</v>
      </c>
    </row>
    <row r="77" spans="1:19" ht="18.95" customHeight="1">
      <c r="A77" s="16"/>
      <c r="B77" s="50" t="s">
        <v>87</v>
      </c>
      <c r="C77" s="89">
        <v>1364</v>
      </c>
      <c r="D77" s="63" t="s">
        <v>72</v>
      </c>
      <c r="E77" s="63" t="s">
        <v>72</v>
      </c>
      <c r="F77" s="63" t="s">
        <v>72</v>
      </c>
      <c r="G77" s="63" t="s">
        <v>72</v>
      </c>
      <c r="H77" s="63" t="s">
        <v>72</v>
      </c>
      <c r="I77" s="63" t="s">
        <v>72</v>
      </c>
      <c r="J77" s="63" t="s">
        <v>72</v>
      </c>
      <c r="K77" s="63" t="s">
        <v>72</v>
      </c>
      <c r="L77" s="63" t="s">
        <v>72</v>
      </c>
      <c r="M77" s="63" t="s">
        <v>72</v>
      </c>
      <c r="N77" s="63" t="s">
        <v>72</v>
      </c>
      <c r="O77" s="63" t="s">
        <v>72</v>
      </c>
      <c r="P77" s="63" t="s">
        <v>72</v>
      </c>
      <c r="Q77" s="63" t="s">
        <v>72</v>
      </c>
      <c r="R77" s="63" t="s">
        <v>72</v>
      </c>
      <c r="S77" s="20" t="s">
        <v>72</v>
      </c>
    </row>
    <row r="78" spans="1:19" ht="30" customHeight="1">
      <c r="A78" s="28"/>
      <c r="B78" s="11" t="s">
        <v>88</v>
      </c>
      <c r="C78" s="89">
        <v>14785</v>
      </c>
      <c r="D78" s="44" t="s">
        <v>72</v>
      </c>
      <c r="E78" s="44" t="s">
        <v>72</v>
      </c>
      <c r="F78" s="44" t="s">
        <v>72</v>
      </c>
      <c r="G78" s="44" t="s">
        <v>72</v>
      </c>
      <c r="H78" s="44" t="s">
        <v>72</v>
      </c>
      <c r="I78" s="44" t="s">
        <v>72</v>
      </c>
      <c r="J78" s="44" t="s">
        <v>72</v>
      </c>
      <c r="K78" s="44" t="s">
        <v>72</v>
      </c>
      <c r="L78" s="44" t="s">
        <v>72</v>
      </c>
      <c r="M78" s="44" t="s">
        <v>72</v>
      </c>
      <c r="N78" s="44" t="s">
        <v>72</v>
      </c>
      <c r="O78" s="44" t="s">
        <v>72</v>
      </c>
      <c r="P78" s="44" t="s">
        <v>72</v>
      </c>
      <c r="Q78" s="44" t="s">
        <v>72</v>
      </c>
      <c r="R78" s="63" t="s">
        <v>72</v>
      </c>
      <c r="S78" s="14" t="s">
        <v>72</v>
      </c>
    </row>
    <row r="79" spans="1:19" ht="18.95" customHeight="1">
      <c r="A79" s="28"/>
      <c r="B79" s="11" t="s">
        <v>89</v>
      </c>
      <c r="C79" s="89">
        <v>1337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63" t="s">
        <v>72</v>
      </c>
      <c r="R79" s="63" t="s">
        <v>72</v>
      </c>
      <c r="S79" s="20" t="s">
        <v>72</v>
      </c>
    </row>
    <row r="80" spans="1:19" ht="18.95" customHeight="1">
      <c r="A80" s="28"/>
      <c r="B80" s="11" t="s">
        <v>90</v>
      </c>
      <c r="C80" s="89">
        <v>3724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 t="s">
        <v>72</v>
      </c>
      <c r="S80" s="175"/>
    </row>
    <row r="81" spans="1:19" s="21" customFormat="1" ht="29.25" customHeight="1">
      <c r="A81" s="16"/>
      <c r="B81" s="17" t="s">
        <v>91</v>
      </c>
      <c r="C81" s="109"/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63" t="s">
        <v>72</v>
      </c>
      <c r="N81" s="63" t="s">
        <v>72</v>
      </c>
      <c r="O81" s="63" t="s">
        <v>72</v>
      </c>
      <c r="P81" s="63" t="s">
        <v>72</v>
      </c>
      <c r="Q81" s="45">
        <v>61619300</v>
      </c>
      <c r="R81" s="63">
        <v>58660880</v>
      </c>
      <c r="S81" s="46">
        <v>64098360</v>
      </c>
    </row>
    <row r="82" spans="1:19" s="21" customFormat="1" ht="30.75" customHeight="1">
      <c r="A82" s="77"/>
      <c r="B82" s="78" t="s">
        <v>92</v>
      </c>
      <c r="C82" s="110"/>
      <c r="D82" s="111" t="s">
        <v>72</v>
      </c>
      <c r="E82" s="111" t="s">
        <v>72</v>
      </c>
      <c r="F82" s="111" t="s">
        <v>72</v>
      </c>
      <c r="G82" s="111" t="s">
        <v>72</v>
      </c>
      <c r="H82" s="111" t="s">
        <v>72</v>
      </c>
      <c r="I82" s="111" t="s">
        <v>72</v>
      </c>
      <c r="J82" s="111" t="s">
        <v>72</v>
      </c>
      <c r="K82" s="111" t="s">
        <v>72</v>
      </c>
      <c r="L82" s="111" t="s">
        <v>72</v>
      </c>
      <c r="M82" s="111" t="s">
        <v>72</v>
      </c>
      <c r="N82" s="111" t="s">
        <v>72</v>
      </c>
      <c r="O82" s="111" t="s">
        <v>72</v>
      </c>
      <c r="P82" s="111" t="s">
        <v>72</v>
      </c>
      <c r="Q82" s="92">
        <f>SUM(Q81/Q34)</f>
        <v>7.1541763414204</v>
      </c>
      <c r="R82" s="107">
        <v>6.5793626234326998</v>
      </c>
      <c r="S82" s="93">
        <v>7.474888978149302</v>
      </c>
    </row>
    <row r="83" spans="1:19" s="21" customFormat="1">
      <c r="A83" s="81" t="s">
        <v>93</v>
      </c>
      <c r="B83" s="82" t="s">
        <v>94</v>
      </c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4"/>
      <c r="R83" s="45"/>
      <c r="S83" s="176"/>
    </row>
    <row r="84" spans="1:19" s="21" customFormat="1" ht="18.95" customHeight="1">
      <c r="A84" s="16"/>
      <c r="B84" s="17" t="s">
        <v>95</v>
      </c>
      <c r="C84" s="115"/>
      <c r="D84" s="63" t="s">
        <v>72</v>
      </c>
      <c r="E84" s="63" t="s">
        <v>72</v>
      </c>
      <c r="F84" s="63" t="s">
        <v>72</v>
      </c>
      <c r="G84" s="63" t="s">
        <v>72</v>
      </c>
      <c r="H84" s="63" t="s">
        <v>72</v>
      </c>
      <c r="I84" s="63" t="s">
        <v>72</v>
      </c>
      <c r="J84" s="63" t="s">
        <v>72</v>
      </c>
      <c r="K84" s="63" t="s">
        <v>72</v>
      </c>
      <c r="L84" s="63" t="s">
        <v>72</v>
      </c>
      <c r="M84" s="63" t="s">
        <v>72</v>
      </c>
      <c r="N84" s="63" t="s">
        <v>72</v>
      </c>
      <c r="O84" s="63" t="s">
        <v>72</v>
      </c>
      <c r="P84" s="63" t="s">
        <v>72</v>
      </c>
      <c r="Q84" s="63">
        <v>0</v>
      </c>
      <c r="R84" s="37">
        <v>0</v>
      </c>
      <c r="S84" s="20">
        <v>3</v>
      </c>
    </row>
    <row r="85" spans="1:19" s="21" customFormat="1" ht="18.95" customHeight="1">
      <c r="A85" s="16"/>
      <c r="B85" s="17" t="s">
        <v>96</v>
      </c>
      <c r="C85" s="115"/>
      <c r="D85" s="63" t="s">
        <v>72</v>
      </c>
      <c r="E85" s="63" t="s">
        <v>72</v>
      </c>
      <c r="F85" s="63" t="s">
        <v>72</v>
      </c>
      <c r="G85" s="63" t="s">
        <v>72</v>
      </c>
      <c r="H85" s="63" t="s">
        <v>72</v>
      </c>
      <c r="I85" s="63" t="s">
        <v>72</v>
      </c>
      <c r="J85" s="63" t="s">
        <v>72</v>
      </c>
      <c r="K85" s="63" t="s">
        <v>72</v>
      </c>
      <c r="L85" s="63" t="s">
        <v>72</v>
      </c>
      <c r="M85" s="63" t="s">
        <v>72</v>
      </c>
      <c r="N85" s="63" t="s">
        <v>72</v>
      </c>
      <c r="O85" s="63" t="s">
        <v>72</v>
      </c>
      <c r="P85" s="63" t="s">
        <v>72</v>
      </c>
      <c r="Q85" s="63">
        <v>0</v>
      </c>
      <c r="R85" s="127">
        <v>1</v>
      </c>
      <c r="S85" s="20">
        <v>0</v>
      </c>
    </row>
    <row r="86" spans="1:19" s="21" customFormat="1" ht="18.95" customHeight="1">
      <c r="A86" s="16"/>
      <c r="B86" s="17" t="s">
        <v>97</v>
      </c>
      <c r="C86" s="115"/>
      <c r="D86" s="63" t="s">
        <v>72</v>
      </c>
      <c r="E86" s="63" t="s">
        <v>72</v>
      </c>
      <c r="F86" s="63" t="s">
        <v>72</v>
      </c>
      <c r="G86" s="63" t="s">
        <v>72</v>
      </c>
      <c r="H86" s="63" t="s">
        <v>72</v>
      </c>
      <c r="I86" s="63" t="s">
        <v>72</v>
      </c>
      <c r="J86" s="63" t="s">
        <v>72</v>
      </c>
      <c r="K86" s="63" t="s">
        <v>72</v>
      </c>
      <c r="L86" s="63" t="s">
        <v>72</v>
      </c>
      <c r="M86" s="63" t="s">
        <v>72</v>
      </c>
      <c r="N86" s="63" t="s">
        <v>72</v>
      </c>
      <c r="O86" s="63" t="s">
        <v>72</v>
      </c>
      <c r="P86" s="63" t="s">
        <v>72</v>
      </c>
      <c r="Q86" s="63">
        <v>1</v>
      </c>
      <c r="R86" s="63">
        <v>0</v>
      </c>
      <c r="S86" s="20">
        <v>0</v>
      </c>
    </row>
    <row r="87" spans="1:19" s="21" customFormat="1" ht="18.95" customHeight="1">
      <c r="A87" s="16"/>
      <c r="B87" s="17" t="s">
        <v>98</v>
      </c>
      <c r="C87" s="115"/>
      <c r="D87" s="63" t="s">
        <v>72</v>
      </c>
      <c r="E87" s="63" t="s">
        <v>72</v>
      </c>
      <c r="F87" s="63" t="s">
        <v>72</v>
      </c>
      <c r="G87" s="63" t="s">
        <v>72</v>
      </c>
      <c r="H87" s="63" t="s">
        <v>72</v>
      </c>
      <c r="I87" s="63" t="s">
        <v>72</v>
      </c>
      <c r="J87" s="63" t="s">
        <v>72</v>
      </c>
      <c r="K87" s="63" t="s">
        <v>72</v>
      </c>
      <c r="L87" s="63" t="s">
        <v>72</v>
      </c>
      <c r="M87" s="63" t="s">
        <v>72</v>
      </c>
      <c r="N87" s="63" t="s">
        <v>72</v>
      </c>
      <c r="O87" s="63" t="s">
        <v>72</v>
      </c>
      <c r="P87" s="63" t="s">
        <v>72</v>
      </c>
      <c r="Q87" s="63">
        <v>5</v>
      </c>
      <c r="R87" s="63">
        <v>1</v>
      </c>
      <c r="S87" s="20">
        <v>4</v>
      </c>
    </row>
    <row r="88" spans="1:19" s="21" customFormat="1" ht="18.95" customHeight="1">
      <c r="A88" s="16"/>
      <c r="B88" s="17" t="s">
        <v>99</v>
      </c>
      <c r="C88" s="115"/>
      <c r="D88" s="63" t="s">
        <v>72</v>
      </c>
      <c r="E88" s="63" t="s">
        <v>72</v>
      </c>
      <c r="F88" s="63" t="s">
        <v>72</v>
      </c>
      <c r="G88" s="63" t="s">
        <v>72</v>
      </c>
      <c r="H88" s="63" t="s">
        <v>72</v>
      </c>
      <c r="I88" s="63" t="s">
        <v>72</v>
      </c>
      <c r="J88" s="63" t="s">
        <v>72</v>
      </c>
      <c r="K88" s="63" t="s">
        <v>72</v>
      </c>
      <c r="L88" s="63" t="s">
        <v>72</v>
      </c>
      <c r="M88" s="63" t="s">
        <v>72</v>
      </c>
      <c r="N88" s="63" t="s">
        <v>72</v>
      </c>
      <c r="O88" s="63" t="s">
        <v>72</v>
      </c>
      <c r="P88" s="63" t="s">
        <v>72</v>
      </c>
      <c r="Q88" s="63">
        <f>SUM(Q84:Q87)</f>
        <v>6</v>
      </c>
      <c r="R88" s="63">
        <v>2</v>
      </c>
      <c r="S88" s="20">
        <v>7</v>
      </c>
    </row>
    <row r="89" spans="1:19" s="21" customFormat="1" ht="25.5">
      <c r="A89" s="39"/>
      <c r="B89" s="40" t="s">
        <v>100</v>
      </c>
      <c r="C89" s="118"/>
      <c r="D89" s="80" t="s">
        <v>72</v>
      </c>
      <c r="E89" s="80" t="s">
        <v>72</v>
      </c>
      <c r="F89" s="80" t="s">
        <v>72</v>
      </c>
      <c r="G89" s="80" t="s">
        <v>72</v>
      </c>
      <c r="H89" s="80" t="s">
        <v>72</v>
      </c>
      <c r="I89" s="80" t="s">
        <v>72</v>
      </c>
      <c r="J89" s="80" t="s">
        <v>72</v>
      </c>
      <c r="K89" s="80" t="s">
        <v>72</v>
      </c>
      <c r="L89" s="80" t="s">
        <v>72</v>
      </c>
      <c r="M89" s="80" t="s">
        <v>72</v>
      </c>
      <c r="N89" s="80" t="s">
        <v>72</v>
      </c>
      <c r="O89" s="80" t="s">
        <v>72</v>
      </c>
      <c r="P89" s="80" t="s">
        <v>72</v>
      </c>
      <c r="Q89" s="107">
        <f>Q88/Q48*100000</f>
        <v>0.10000186670151176</v>
      </c>
      <c r="R89" s="107">
        <v>3.2267973906825578E-2</v>
      </c>
      <c r="S89" s="108">
        <v>0.11630331572445751</v>
      </c>
    </row>
    <row r="90" spans="1:19" s="21" customFormat="1">
      <c r="A90" s="119" t="s">
        <v>19</v>
      </c>
      <c r="B90" s="11" t="s">
        <v>101</v>
      </c>
      <c r="C90" s="112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1"/>
      <c r="R90" s="44"/>
      <c r="S90" s="134"/>
    </row>
    <row r="91" spans="1:19" s="21" customFormat="1" ht="18.95" customHeight="1">
      <c r="A91" s="119"/>
      <c r="B91" s="17" t="s">
        <v>95</v>
      </c>
      <c r="C91" s="115"/>
      <c r="D91" s="63" t="s">
        <v>72</v>
      </c>
      <c r="E91" s="63" t="s">
        <v>72</v>
      </c>
      <c r="F91" s="63" t="s">
        <v>72</v>
      </c>
      <c r="G91" s="63" t="s">
        <v>72</v>
      </c>
      <c r="H91" s="63" t="s">
        <v>72</v>
      </c>
      <c r="I91" s="63" t="s">
        <v>72</v>
      </c>
      <c r="J91" s="63" t="s">
        <v>72</v>
      </c>
      <c r="K91" s="63" t="s">
        <v>72</v>
      </c>
      <c r="L91" s="63" t="s">
        <v>72</v>
      </c>
      <c r="M91" s="63" t="s">
        <v>72</v>
      </c>
      <c r="N91" s="63" t="s">
        <v>72</v>
      </c>
      <c r="O91" s="63" t="s">
        <v>72</v>
      </c>
      <c r="P91" s="63" t="s">
        <v>72</v>
      </c>
      <c r="Q91" s="63">
        <v>0</v>
      </c>
      <c r="R91" s="37">
        <v>2</v>
      </c>
      <c r="S91" s="20">
        <v>1</v>
      </c>
    </row>
    <row r="92" spans="1:19" s="21" customFormat="1" ht="18.95" customHeight="1">
      <c r="A92" s="119"/>
      <c r="B92" s="17" t="s">
        <v>96</v>
      </c>
      <c r="C92" s="115"/>
      <c r="D92" s="63" t="s">
        <v>72</v>
      </c>
      <c r="E92" s="63" t="s">
        <v>72</v>
      </c>
      <c r="F92" s="63" t="s">
        <v>72</v>
      </c>
      <c r="G92" s="63" t="s">
        <v>72</v>
      </c>
      <c r="H92" s="63" t="s">
        <v>72</v>
      </c>
      <c r="I92" s="63" t="s">
        <v>72</v>
      </c>
      <c r="J92" s="63" t="s">
        <v>72</v>
      </c>
      <c r="K92" s="63" t="s">
        <v>72</v>
      </c>
      <c r="L92" s="63" t="s">
        <v>72</v>
      </c>
      <c r="M92" s="63" t="s">
        <v>72</v>
      </c>
      <c r="N92" s="63" t="s">
        <v>72</v>
      </c>
      <c r="O92" s="63" t="s">
        <v>72</v>
      </c>
      <c r="P92" s="63" t="s">
        <v>72</v>
      </c>
      <c r="Q92" s="63">
        <v>1</v>
      </c>
      <c r="R92" s="169">
        <v>0</v>
      </c>
      <c r="S92" s="20">
        <v>2</v>
      </c>
    </row>
    <row r="93" spans="1:19" s="21" customFormat="1" ht="18.95" customHeight="1">
      <c r="A93" s="119"/>
      <c r="B93" s="17" t="s">
        <v>97</v>
      </c>
      <c r="C93" s="115"/>
      <c r="D93" s="63" t="s">
        <v>72</v>
      </c>
      <c r="E93" s="63" t="s">
        <v>72</v>
      </c>
      <c r="F93" s="63" t="s">
        <v>72</v>
      </c>
      <c r="G93" s="63" t="s">
        <v>72</v>
      </c>
      <c r="H93" s="63" t="s">
        <v>72</v>
      </c>
      <c r="I93" s="63" t="s">
        <v>72</v>
      </c>
      <c r="J93" s="63" t="s">
        <v>72</v>
      </c>
      <c r="K93" s="63" t="s">
        <v>72</v>
      </c>
      <c r="L93" s="63" t="s">
        <v>72</v>
      </c>
      <c r="M93" s="63" t="s">
        <v>72</v>
      </c>
      <c r="N93" s="63" t="s">
        <v>72</v>
      </c>
      <c r="O93" s="63" t="s">
        <v>72</v>
      </c>
      <c r="P93" s="63" t="s">
        <v>72</v>
      </c>
      <c r="Q93" s="63">
        <v>2</v>
      </c>
      <c r="R93" s="63">
        <v>2</v>
      </c>
      <c r="S93" s="20">
        <v>0</v>
      </c>
    </row>
    <row r="94" spans="1:19" s="21" customFormat="1" ht="18.95" customHeight="1">
      <c r="A94" s="119"/>
      <c r="B94" s="17" t="s">
        <v>98</v>
      </c>
      <c r="C94" s="115"/>
      <c r="D94" s="63" t="s">
        <v>72</v>
      </c>
      <c r="E94" s="63" t="s">
        <v>72</v>
      </c>
      <c r="F94" s="63" t="s">
        <v>72</v>
      </c>
      <c r="G94" s="63" t="s">
        <v>72</v>
      </c>
      <c r="H94" s="63" t="s">
        <v>72</v>
      </c>
      <c r="I94" s="63" t="s">
        <v>72</v>
      </c>
      <c r="J94" s="63" t="s">
        <v>72</v>
      </c>
      <c r="K94" s="63" t="s">
        <v>72</v>
      </c>
      <c r="L94" s="63" t="s">
        <v>72</v>
      </c>
      <c r="M94" s="63" t="s">
        <v>72</v>
      </c>
      <c r="N94" s="63" t="s">
        <v>72</v>
      </c>
      <c r="O94" s="63" t="s">
        <v>72</v>
      </c>
      <c r="P94" s="63" t="s">
        <v>72</v>
      </c>
      <c r="Q94" s="63">
        <v>1</v>
      </c>
      <c r="R94" s="63">
        <v>0</v>
      </c>
      <c r="S94" s="20">
        <v>0</v>
      </c>
    </row>
    <row r="95" spans="1:19" s="21" customFormat="1" ht="18.95" customHeight="1">
      <c r="A95" s="119"/>
      <c r="B95" s="78" t="s">
        <v>99</v>
      </c>
      <c r="C95" s="122"/>
      <c r="D95" s="111" t="s">
        <v>72</v>
      </c>
      <c r="E95" s="111" t="s">
        <v>72</v>
      </c>
      <c r="F95" s="111" t="s">
        <v>72</v>
      </c>
      <c r="G95" s="111" t="s">
        <v>72</v>
      </c>
      <c r="H95" s="111" t="s">
        <v>72</v>
      </c>
      <c r="I95" s="111" t="s">
        <v>72</v>
      </c>
      <c r="J95" s="111" t="s">
        <v>72</v>
      </c>
      <c r="K95" s="111" t="s">
        <v>72</v>
      </c>
      <c r="L95" s="111" t="s">
        <v>72</v>
      </c>
      <c r="M95" s="111" t="s">
        <v>72</v>
      </c>
      <c r="N95" s="111" t="s">
        <v>72</v>
      </c>
      <c r="O95" s="111" t="s">
        <v>72</v>
      </c>
      <c r="P95" s="111" t="s">
        <v>72</v>
      </c>
      <c r="Q95" s="111">
        <f>SUM(Q91:Q94)</f>
        <v>4</v>
      </c>
      <c r="R95" s="63">
        <v>4</v>
      </c>
      <c r="S95" s="177">
        <v>3</v>
      </c>
    </row>
    <row r="96" spans="1:19" s="21" customFormat="1" ht="26.25" thickBot="1">
      <c r="A96" s="70"/>
      <c r="B96" s="71" t="s">
        <v>100</v>
      </c>
      <c r="C96" s="123"/>
      <c r="D96" s="124" t="s">
        <v>72</v>
      </c>
      <c r="E96" s="124" t="s">
        <v>72</v>
      </c>
      <c r="F96" s="124" t="s">
        <v>72</v>
      </c>
      <c r="G96" s="124" t="s">
        <v>72</v>
      </c>
      <c r="H96" s="124" t="s">
        <v>72</v>
      </c>
      <c r="I96" s="124" t="s">
        <v>72</v>
      </c>
      <c r="J96" s="124" t="s">
        <v>72</v>
      </c>
      <c r="K96" s="124" t="s">
        <v>72</v>
      </c>
      <c r="L96" s="124" t="s">
        <v>72</v>
      </c>
      <c r="M96" s="124" t="s">
        <v>72</v>
      </c>
      <c r="N96" s="124" t="s">
        <v>72</v>
      </c>
      <c r="O96" s="124" t="s">
        <v>72</v>
      </c>
      <c r="P96" s="124" t="s">
        <v>72</v>
      </c>
      <c r="Q96" s="73">
        <f>Q95/Q33*100000</f>
        <v>0.14178559819875575</v>
      </c>
      <c r="R96" s="73">
        <v>0.14000000000000001</v>
      </c>
      <c r="S96" s="74">
        <v>0.10805585969277991</v>
      </c>
    </row>
    <row r="97" spans="1:19" s="21" customFormat="1" ht="15" thickTop="1">
      <c r="A97" s="28"/>
      <c r="B97" s="125" t="s">
        <v>102</v>
      </c>
      <c r="C97" s="126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127"/>
      <c r="R97" s="120"/>
      <c r="S97" s="178"/>
    </row>
    <row r="98" spans="1:19" s="21" customFormat="1">
      <c r="A98" s="16">
        <v>23</v>
      </c>
      <c r="B98" s="17" t="s">
        <v>103</v>
      </c>
      <c r="C98" s="128"/>
      <c r="D98" s="13">
        <v>111</v>
      </c>
      <c r="E98" s="13">
        <v>93</v>
      </c>
      <c r="F98" s="13">
        <v>127</v>
      </c>
      <c r="G98" s="13">
        <v>58</v>
      </c>
      <c r="H98" s="13">
        <v>71</v>
      </c>
      <c r="I98" s="13">
        <v>56</v>
      </c>
      <c r="J98" s="13">
        <v>42</v>
      </c>
      <c r="K98" s="13">
        <v>56</v>
      </c>
      <c r="L98" s="13">
        <v>43</v>
      </c>
      <c r="M98" s="13">
        <v>108</v>
      </c>
      <c r="N98" s="13">
        <v>62</v>
      </c>
      <c r="O98" s="13">
        <v>58</v>
      </c>
      <c r="P98" s="13">
        <v>33</v>
      </c>
      <c r="Q98" s="19">
        <f>SUM(C98:P98)</f>
        <v>918</v>
      </c>
      <c r="R98" s="76">
        <v>1164</v>
      </c>
      <c r="S98" s="96">
        <v>787</v>
      </c>
    </row>
    <row r="99" spans="1:19" s="15" customFormat="1" ht="25.5">
      <c r="A99" s="51">
        <v>24</v>
      </c>
      <c r="B99" s="40" t="s">
        <v>104</v>
      </c>
      <c r="C99" s="129"/>
      <c r="D99" s="42">
        <f t="shared" ref="D99:Q99" si="33">SUM(D98/D48*10000)</f>
        <v>1.8580049044633964</v>
      </c>
      <c r="E99" s="42">
        <f t="shared" si="33"/>
        <v>1.3901844012341249</v>
      </c>
      <c r="F99" s="42">
        <f t="shared" si="33"/>
        <v>2.2443277708170237</v>
      </c>
      <c r="G99" s="42">
        <f t="shared" si="33"/>
        <v>1.0739229293654966</v>
      </c>
      <c r="H99" s="42">
        <f t="shared" si="33"/>
        <v>1.1223876821903949</v>
      </c>
      <c r="I99" s="42">
        <f t="shared" si="33"/>
        <v>1.6105838366407823</v>
      </c>
      <c r="J99" s="42">
        <f t="shared" si="33"/>
        <v>0.89982389160978504</v>
      </c>
      <c r="K99" s="42">
        <f t="shared" si="33"/>
        <v>1.2539213030033654</v>
      </c>
      <c r="L99" s="42">
        <f t="shared" si="33"/>
        <v>1.1448440748994269</v>
      </c>
      <c r="M99" s="42">
        <f t="shared" si="33"/>
        <v>1.9443414263544678</v>
      </c>
      <c r="N99" s="42">
        <f t="shared" si="33"/>
        <v>2.3349087690888206</v>
      </c>
      <c r="O99" s="42">
        <f t="shared" si="33"/>
        <v>2.0731315008757196</v>
      </c>
      <c r="P99" s="42">
        <f t="shared" si="33"/>
        <v>1.2812896762996355</v>
      </c>
      <c r="Q99" s="42">
        <f t="shared" si="33"/>
        <v>1.5300285605331299</v>
      </c>
      <c r="R99" s="168">
        <v>1.8779960813772487</v>
      </c>
      <c r="S99" s="43">
        <v>1.3075815639306867</v>
      </c>
    </row>
    <row r="100" spans="1:19" s="130" customFormat="1" ht="25.5">
      <c r="A100" s="10">
        <v>25</v>
      </c>
      <c r="B100" s="11" t="s">
        <v>105</v>
      </c>
      <c r="C100" s="126"/>
      <c r="D100" s="13">
        <v>155548</v>
      </c>
      <c r="E100" s="13">
        <v>22745</v>
      </c>
      <c r="F100" s="13">
        <v>148926</v>
      </c>
      <c r="G100" s="13">
        <v>178012</v>
      </c>
      <c r="H100" s="13">
        <v>176190</v>
      </c>
      <c r="I100" s="13">
        <v>114531</v>
      </c>
      <c r="J100" s="13">
        <v>157721</v>
      </c>
      <c r="K100" s="13">
        <v>95025</v>
      </c>
      <c r="L100" s="13">
        <v>100214</v>
      </c>
      <c r="M100" s="13">
        <v>30480</v>
      </c>
      <c r="N100" s="13">
        <v>13321</v>
      </c>
      <c r="O100" s="13">
        <v>10176</v>
      </c>
      <c r="P100" s="13">
        <v>24936</v>
      </c>
      <c r="Q100" s="44">
        <f>SUM(C100:P100)</f>
        <v>1227825</v>
      </c>
      <c r="R100" s="13">
        <v>1220033</v>
      </c>
      <c r="S100" s="14">
        <v>1235891</v>
      </c>
    </row>
    <row r="101" spans="1:19" s="33" customFormat="1" ht="25.5">
      <c r="A101" s="65"/>
      <c r="B101" s="17" t="s">
        <v>106</v>
      </c>
      <c r="C101" s="131"/>
      <c r="D101" s="37">
        <f>D100/C5</f>
        <v>5184.9333333333334</v>
      </c>
      <c r="E101" s="37">
        <f>E100/C5</f>
        <v>758.16666666666663</v>
      </c>
      <c r="F101" s="37">
        <f>F100/C5</f>
        <v>4964.2</v>
      </c>
      <c r="G101" s="37">
        <f>G100/C5</f>
        <v>5933.7333333333336</v>
      </c>
      <c r="H101" s="37">
        <f>H100/C5</f>
        <v>5873</v>
      </c>
      <c r="I101" s="37">
        <f>I100/C5</f>
        <v>3817.7</v>
      </c>
      <c r="J101" s="37">
        <f>J100/C5</f>
        <v>5257.3666666666668</v>
      </c>
      <c r="K101" s="37">
        <f>K100/C5</f>
        <v>3167.5</v>
      </c>
      <c r="L101" s="37">
        <f>L100/C5</f>
        <v>3340.4666666666667</v>
      </c>
      <c r="M101" s="37">
        <f>M100/C5</f>
        <v>1016</v>
      </c>
      <c r="N101" s="37">
        <f>N100/C5</f>
        <v>444.03333333333336</v>
      </c>
      <c r="O101" s="37">
        <f>O100/C5</f>
        <v>339.2</v>
      </c>
      <c r="P101" s="37">
        <f>P100/C5</f>
        <v>831.2</v>
      </c>
      <c r="Q101" s="37">
        <f>Q100/C5</f>
        <v>40927.5</v>
      </c>
      <c r="R101" s="128">
        <v>39355.903225806454</v>
      </c>
      <c r="S101" s="38">
        <v>41196.366666666669</v>
      </c>
    </row>
    <row r="102" spans="1:19" ht="25.5">
      <c r="A102" s="16"/>
      <c r="B102" s="17" t="s">
        <v>107</v>
      </c>
      <c r="C102" s="115"/>
      <c r="D102" s="100">
        <v>59.6</v>
      </c>
      <c r="E102" s="100">
        <v>54.15</v>
      </c>
      <c r="F102" s="100">
        <v>62.05</v>
      </c>
      <c r="G102" s="100">
        <v>62.46</v>
      </c>
      <c r="H102" s="100">
        <v>74.34</v>
      </c>
      <c r="I102" s="100">
        <v>70.7</v>
      </c>
      <c r="J102" s="100">
        <v>65.72</v>
      </c>
      <c r="K102" s="100">
        <v>62.11</v>
      </c>
      <c r="L102" s="100">
        <v>77.69</v>
      </c>
      <c r="M102" s="100">
        <v>53.47</v>
      </c>
      <c r="N102" s="100">
        <v>55.5</v>
      </c>
      <c r="O102" s="100">
        <v>56.53</v>
      </c>
      <c r="P102" s="100">
        <v>51.95</v>
      </c>
      <c r="Q102" s="97">
        <v>64.760000000000005</v>
      </c>
      <c r="R102" s="44">
        <v>60.71</v>
      </c>
      <c r="S102" s="98">
        <v>64.569999999999993</v>
      </c>
    </row>
    <row r="103" spans="1:19" ht="21.75" customHeight="1">
      <c r="A103" s="16"/>
      <c r="B103" s="17" t="s">
        <v>108</v>
      </c>
      <c r="C103" s="115"/>
      <c r="D103" s="13">
        <v>26128</v>
      </c>
      <c r="E103" s="13">
        <v>198201</v>
      </c>
      <c r="F103" s="13">
        <v>43466</v>
      </c>
      <c r="G103" s="13">
        <v>0</v>
      </c>
      <c r="H103" s="13">
        <v>24795</v>
      </c>
      <c r="I103" s="13">
        <v>0</v>
      </c>
      <c r="J103" s="13">
        <v>4644</v>
      </c>
      <c r="K103" s="13">
        <v>27493</v>
      </c>
      <c r="L103" s="13">
        <v>0</v>
      </c>
      <c r="M103" s="13">
        <v>144282</v>
      </c>
      <c r="N103" s="13">
        <v>81138</v>
      </c>
      <c r="O103" s="13">
        <v>87281</v>
      </c>
      <c r="P103" s="13">
        <v>51672</v>
      </c>
      <c r="Q103" s="37">
        <f>SUM(C103:P103)</f>
        <v>689100</v>
      </c>
      <c r="R103" s="37">
        <v>713561</v>
      </c>
      <c r="S103" s="38">
        <v>666303.32999999996</v>
      </c>
    </row>
    <row r="104" spans="1:19" ht="25.5">
      <c r="A104" s="16"/>
      <c r="B104" s="17" t="s">
        <v>109</v>
      </c>
      <c r="C104" s="115"/>
      <c r="D104" s="37">
        <f>D103/C5</f>
        <v>870.93333333333328</v>
      </c>
      <c r="E104" s="37">
        <f>E103/C5</f>
        <v>6606.7</v>
      </c>
      <c r="F104" s="37">
        <f>F103/C5</f>
        <v>1448.8666666666666</v>
      </c>
      <c r="G104" s="37">
        <f>G103/C5</f>
        <v>0</v>
      </c>
      <c r="H104" s="37">
        <f>H103/C5</f>
        <v>826.5</v>
      </c>
      <c r="I104" s="37">
        <f>I103/C5</f>
        <v>0</v>
      </c>
      <c r="J104" s="37">
        <f>J103/C5</f>
        <v>154.80000000000001</v>
      </c>
      <c r="K104" s="37">
        <f>K103/C5</f>
        <v>916.43333333333328</v>
      </c>
      <c r="L104" s="37">
        <f>L103/C5</f>
        <v>0</v>
      </c>
      <c r="M104" s="37">
        <f>M103/C5</f>
        <v>4809.3999999999996</v>
      </c>
      <c r="N104" s="37">
        <f>N103/C5</f>
        <v>2704.6</v>
      </c>
      <c r="O104" s="37">
        <f>O103/C5</f>
        <v>2909.3666666666668</v>
      </c>
      <c r="P104" s="37">
        <f>P103/C5</f>
        <v>1722.4</v>
      </c>
      <c r="Q104" s="37">
        <f>Q103/C5</f>
        <v>22970</v>
      </c>
      <c r="R104" s="37">
        <v>23018.096774193549</v>
      </c>
      <c r="S104" s="38">
        <v>22210.110999999997</v>
      </c>
    </row>
    <row r="105" spans="1:19" s="15" customFormat="1" ht="25.5">
      <c r="A105" s="132"/>
      <c r="B105" s="11" t="s">
        <v>110</v>
      </c>
      <c r="C105" s="110"/>
      <c r="D105" s="100">
        <v>72.099999999999994</v>
      </c>
      <c r="E105" s="100">
        <v>68.98</v>
      </c>
      <c r="F105" s="100">
        <v>72.33</v>
      </c>
      <c r="G105" s="100">
        <v>0</v>
      </c>
      <c r="H105" s="100">
        <v>86.24</v>
      </c>
      <c r="I105" s="36">
        <v>0</v>
      </c>
      <c r="J105" s="100">
        <v>72.760000000000005</v>
      </c>
      <c r="K105" s="100">
        <v>92.9</v>
      </c>
      <c r="L105" s="13">
        <v>0</v>
      </c>
      <c r="M105" s="13">
        <v>77.040000000000006</v>
      </c>
      <c r="N105" s="13">
        <v>78.150000000000006</v>
      </c>
      <c r="O105" s="13">
        <v>80.75</v>
      </c>
      <c r="P105" s="13">
        <v>71.819999999999993</v>
      </c>
      <c r="Q105" s="133">
        <v>74.94</v>
      </c>
      <c r="R105" s="107">
        <v>76.45</v>
      </c>
      <c r="S105" s="179">
        <v>72.44</v>
      </c>
    </row>
    <row r="106" spans="1:19" s="21" customFormat="1" ht="20.25" customHeight="1">
      <c r="A106" s="81">
        <v>26</v>
      </c>
      <c r="B106" s="82" t="s">
        <v>111</v>
      </c>
      <c r="C106" s="112"/>
      <c r="D106" s="94">
        <f>SUM(D46/D100)</f>
        <v>3.3720845012472034</v>
      </c>
      <c r="E106" s="94">
        <f>SUM(E46/E100)</f>
        <v>3.8017146625632008</v>
      </c>
      <c r="F106" s="94">
        <f t="shared" ref="F106:O106" si="34">SUM(F46/F100)</f>
        <v>3.0385023434457383</v>
      </c>
      <c r="G106" s="94">
        <v>3.06</v>
      </c>
      <c r="H106" s="94">
        <f t="shared" si="34"/>
        <v>3.20372325330609</v>
      </c>
      <c r="I106" s="94">
        <f t="shared" si="34"/>
        <v>3.0358592870052648</v>
      </c>
      <c r="J106" s="94">
        <f t="shared" si="34"/>
        <v>2.8826028239739792</v>
      </c>
      <c r="K106" s="94">
        <f t="shared" si="34"/>
        <v>3.9397316495659038</v>
      </c>
      <c r="L106" s="94">
        <f t="shared" si="34"/>
        <v>3.7479493883090189</v>
      </c>
      <c r="M106" s="94">
        <f t="shared" si="34"/>
        <v>4.178904199475066</v>
      </c>
      <c r="N106" s="94">
        <f t="shared" si="34"/>
        <v>3.8909991742361685</v>
      </c>
      <c r="O106" s="94">
        <f t="shared" si="34"/>
        <v>3.9070361635220126</v>
      </c>
      <c r="P106" s="94">
        <f>SUM(P46/P100)</f>
        <v>4.1357475136349056</v>
      </c>
      <c r="Q106" s="94">
        <f>SUM(Q46/Q100)</f>
        <v>3.2923682120823408</v>
      </c>
      <c r="R106" s="145">
        <v>3.3606771292251931</v>
      </c>
      <c r="S106" s="95">
        <v>3.3072463510131556</v>
      </c>
    </row>
    <row r="107" spans="1:19" s="21" customFormat="1" ht="18" customHeight="1">
      <c r="A107" s="16"/>
      <c r="B107" s="11" t="s">
        <v>112</v>
      </c>
      <c r="C107" s="115"/>
      <c r="D107" s="97">
        <f>SUM(D47/D103)</f>
        <v>2.7898805878750768</v>
      </c>
      <c r="E107" s="97">
        <f>SUM(E47/E103)</f>
        <v>2.9389659991624666</v>
      </c>
      <c r="F107" s="97">
        <f>SUM(F47/F103)</f>
        <v>2.6079924538719919</v>
      </c>
      <c r="G107" s="97">
        <v>0</v>
      </c>
      <c r="H107" s="97">
        <f>SUM(H47/H103)</f>
        <v>2.7471667674934461</v>
      </c>
      <c r="I107" s="97">
        <v>0</v>
      </c>
      <c r="J107" s="97">
        <f>SUM(J47/J103)</f>
        <v>2.6078811369509043</v>
      </c>
      <c r="K107" s="97">
        <f t="shared" ref="K107:Q107" si="35">SUM(K47/K103)</f>
        <v>2.6270687083985016</v>
      </c>
      <c r="L107" s="97">
        <v>0</v>
      </c>
      <c r="M107" s="97">
        <f t="shared" si="35"/>
        <v>2.9670021208466753</v>
      </c>
      <c r="N107" s="97">
        <f t="shared" si="35"/>
        <v>2.63382139071705</v>
      </c>
      <c r="O107" s="97">
        <f t="shared" si="35"/>
        <v>2.7498768345917211</v>
      </c>
      <c r="P107" s="97">
        <f t="shared" si="35"/>
        <v>2.9885431181297415</v>
      </c>
      <c r="Q107" s="97">
        <f t="shared" si="35"/>
        <v>2.8405688579306343</v>
      </c>
      <c r="R107" s="90">
        <v>2.9401256514859977</v>
      </c>
      <c r="S107" s="98">
        <v>2.8986032532660464</v>
      </c>
    </row>
    <row r="108" spans="1:19" s="21" customFormat="1" ht="25.5">
      <c r="A108" s="28">
        <v>27</v>
      </c>
      <c r="B108" s="11" t="s">
        <v>113</v>
      </c>
      <c r="C108" s="135"/>
      <c r="D108" s="13">
        <v>1367</v>
      </c>
      <c r="E108" s="13">
        <v>491</v>
      </c>
      <c r="F108" s="13">
        <v>1113</v>
      </c>
      <c r="G108" s="13">
        <v>749</v>
      </c>
      <c r="H108" s="13">
        <v>1341</v>
      </c>
      <c r="I108" s="13">
        <v>369</v>
      </c>
      <c r="J108" s="13">
        <v>599</v>
      </c>
      <c r="K108" s="13">
        <v>510</v>
      </c>
      <c r="L108" s="13">
        <v>604</v>
      </c>
      <c r="M108" s="13">
        <v>627</v>
      </c>
      <c r="N108" s="13">
        <v>643</v>
      </c>
      <c r="O108" s="13">
        <v>561</v>
      </c>
      <c r="P108" s="13">
        <v>411</v>
      </c>
      <c r="Q108" s="44">
        <f>SUM(D108:P108)</f>
        <v>9385</v>
      </c>
      <c r="R108" s="45">
        <v>9397</v>
      </c>
      <c r="S108" s="14">
        <v>9448</v>
      </c>
    </row>
    <row r="109" spans="1:19" s="21" customFormat="1" ht="19.5" customHeight="1">
      <c r="A109" s="16"/>
      <c r="B109" s="11" t="s">
        <v>114</v>
      </c>
      <c r="C109" s="115"/>
      <c r="D109" s="136">
        <f t="shared" ref="D109:Q109" si="36">SUM(D108)/$C5</f>
        <v>45.56666666666667</v>
      </c>
      <c r="E109" s="136">
        <f t="shared" si="36"/>
        <v>16.366666666666667</v>
      </c>
      <c r="F109" s="136">
        <f t="shared" si="36"/>
        <v>37.1</v>
      </c>
      <c r="G109" s="136">
        <f t="shared" si="36"/>
        <v>24.966666666666665</v>
      </c>
      <c r="H109" s="136">
        <f t="shared" si="36"/>
        <v>44.7</v>
      </c>
      <c r="I109" s="136">
        <f t="shared" si="36"/>
        <v>12.3</v>
      </c>
      <c r="J109" s="136">
        <f t="shared" si="36"/>
        <v>19.966666666666665</v>
      </c>
      <c r="K109" s="136">
        <f t="shared" si="36"/>
        <v>17</v>
      </c>
      <c r="L109" s="136">
        <f t="shared" si="36"/>
        <v>20.133333333333333</v>
      </c>
      <c r="M109" s="136">
        <f t="shared" si="36"/>
        <v>20.9</v>
      </c>
      <c r="N109" s="136">
        <f t="shared" si="36"/>
        <v>21.433333333333334</v>
      </c>
      <c r="O109" s="136">
        <f t="shared" si="36"/>
        <v>18.7</v>
      </c>
      <c r="P109" s="136">
        <f t="shared" si="36"/>
        <v>13.7</v>
      </c>
      <c r="Q109" s="136">
        <f t="shared" si="36"/>
        <v>312.83333333333331</v>
      </c>
      <c r="R109" s="97">
        <v>303.12903225806451</v>
      </c>
      <c r="S109" s="180">
        <v>314.93333333333334</v>
      </c>
    </row>
    <row r="110" spans="1:19" s="21" customFormat="1" ht="18.75" customHeight="1">
      <c r="A110" s="16">
        <v>28</v>
      </c>
      <c r="B110" s="17" t="s">
        <v>115</v>
      </c>
      <c r="C110" s="109"/>
      <c r="D110" s="136">
        <f t="shared" ref="D110:Q110" si="37">SUM(D48/D108)</f>
        <v>437.02633504023407</v>
      </c>
      <c r="E110" s="136">
        <f t="shared" si="37"/>
        <v>1362.4765784114054</v>
      </c>
      <c r="F110" s="136">
        <f t="shared" si="37"/>
        <v>508.41958670260556</v>
      </c>
      <c r="G110" s="136">
        <f t="shared" si="37"/>
        <v>721.06275033377835</v>
      </c>
      <c r="H110" s="136">
        <f t="shared" si="37"/>
        <v>471.72259507829978</v>
      </c>
      <c r="I110" s="136">
        <f t="shared" si="37"/>
        <v>942.27642276422762</v>
      </c>
      <c r="J110" s="136">
        <f t="shared" si="37"/>
        <v>779.22871452420702</v>
      </c>
      <c r="K110" s="136">
        <f t="shared" si="37"/>
        <v>875.68431372549014</v>
      </c>
      <c r="L110" s="136">
        <f t="shared" si="37"/>
        <v>621.8493377483444</v>
      </c>
      <c r="M110" s="136">
        <f t="shared" si="37"/>
        <v>885.89792663476874</v>
      </c>
      <c r="N110" s="136">
        <f t="shared" si="37"/>
        <v>412.96267496111977</v>
      </c>
      <c r="O110" s="136">
        <f t="shared" si="37"/>
        <v>498.69875222816398</v>
      </c>
      <c r="P110" s="136">
        <f t="shared" si="37"/>
        <v>626.64963503649631</v>
      </c>
      <c r="Q110" s="136">
        <f t="shared" si="37"/>
        <v>639.306126798082</v>
      </c>
      <c r="R110" s="145">
        <v>659.58241992125147</v>
      </c>
      <c r="S110" s="180">
        <v>637.03905588484338</v>
      </c>
    </row>
    <row r="111" spans="1:19" s="21" customFormat="1" ht="25.5">
      <c r="A111" s="16">
        <v>29</v>
      </c>
      <c r="B111" s="17" t="s">
        <v>116</v>
      </c>
      <c r="C111" s="109"/>
      <c r="D111" s="13">
        <v>15</v>
      </c>
      <c r="E111" s="13">
        <v>27</v>
      </c>
      <c r="F111" s="13">
        <v>17</v>
      </c>
      <c r="G111" s="13">
        <v>13</v>
      </c>
      <c r="H111" s="13">
        <v>21</v>
      </c>
      <c r="I111" s="13">
        <v>11</v>
      </c>
      <c r="J111" s="13">
        <v>9</v>
      </c>
      <c r="K111" s="13">
        <v>15</v>
      </c>
      <c r="L111" s="13">
        <v>15</v>
      </c>
      <c r="M111" s="13">
        <v>11</v>
      </c>
      <c r="N111" s="13">
        <v>9</v>
      </c>
      <c r="O111" s="13">
        <v>4</v>
      </c>
      <c r="P111" s="13">
        <v>6</v>
      </c>
      <c r="Q111" s="137">
        <f>SUM(D111:P111)</f>
        <v>173</v>
      </c>
      <c r="R111" s="185">
        <v>134</v>
      </c>
      <c r="S111" s="181">
        <v>218</v>
      </c>
    </row>
    <row r="112" spans="1:19" s="21" customFormat="1" ht="25.5" customHeight="1">
      <c r="A112" s="16">
        <v>30</v>
      </c>
      <c r="B112" s="17" t="s">
        <v>117</v>
      </c>
      <c r="C112" s="115"/>
      <c r="D112" s="36">
        <v>47084.533333333333</v>
      </c>
      <c r="E112" s="36">
        <v>47078.814814814818</v>
      </c>
      <c r="F112" s="36">
        <v>39648.529411764706</v>
      </c>
      <c r="G112" s="36">
        <v>46262.153846153844</v>
      </c>
      <c r="H112" s="36">
        <v>60265.714285714283</v>
      </c>
      <c r="I112" s="36">
        <v>40373.818181818184</v>
      </c>
      <c r="J112" s="36">
        <v>56352.666666666664</v>
      </c>
      <c r="K112" s="36">
        <v>46864.533333333333</v>
      </c>
      <c r="L112" s="36">
        <v>45435.333333333336</v>
      </c>
      <c r="M112" s="36">
        <v>57205.545454545456</v>
      </c>
      <c r="N112" s="36">
        <v>49301.222222222219</v>
      </c>
      <c r="O112" s="36">
        <v>62575.25</v>
      </c>
      <c r="P112" s="36">
        <v>49468.333333333336</v>
      </c>
      <c r="Q112" s="138">
        <v>48984.254335260113</v>
      </c>
      <c r="R112" s="185">
        <v>49393.186567164179</v>
      </c>
      <c r="S112" s="116">
        <v>46128.192660550456</v>
      </c>
    </row>
    <row r="113" spans="1:19" s="21" customFormat="1" ht="25.5">
      <c r="A113" s="77">
        <v>31</v>
      </c>
      <c r="B113" s="78" t="s">
        <v>118</v>
      </c>
      <c r="C113" s="110"/>
      <c r="D113" s="13">
        <v>23</v>
      </c>
      <c r="E113" s="13">
        <v>21</v>
      </c>
      <c r="F113" s="13">
        <v>14</v>
      </c>
      <c r="G113" s="13">
        <v>11</v>
      </c>
      <c r="H113" s="13">
        <v>27</v>
      </c>
      <c r="I113" s="13">
        <v>7</v>
      </c>
      <c r="J113" s="13">
        <v>18</v>
      </c>
      <c r="K113" s="13">
        <v>12</v>
      </c>
      <c r="L113" s="13">
        <v>13</v>
      </c>
      <c r="M113" s="13">
        <v>7</v>
      </c>
      <c r="N113" s="13">
        <v>18</v>
      </c>
      <c r="O113" s="13">
        <v>3</v>
      </c>
      <c r="P113" s="13">
        <v>16</v>
      </c>
      <c r="Q113" s="137">
        <f>SUM(D113:P113)</f>
        <v>190</v>
      </c>
      <c r="R113" s="137">
        <v>151</v>
      </c>
      <c r="S113" s="181">
        <v>227</v>
      </c>
    </row>
    <row r="114" spans="1:19" s="15" customFormat="1" ht="25.5">
      <c r="A114" s="51">
        <v>32</v>
      </c>
      <c r="B114" s="40" t="s">
        <v>119</v>
      </c>
      <c r="C114" s="139"/>
      <c r="D114" s="187">
        <v>40610</v>
      </c>
      <c r="E114" s="187">
        <v>38940.238095238092</v>
      </c>
      <c r="F114" s="187">
        <v>39141.285714285717</v>
      </c>
      <c r="G114" s="187">
        <v>42253.818181818184</v>
      </c>
      <c r="H114" s="187">
        <v>44993.629629629628</v>
      </c>
      <c r="I114" s="187">
        <v>34341.285714285717</v>
      </c>
      <c r="J114" s="187">
        <v>44093.111111111109</v>
      </c>
      <c r="K114" s="187">
        <v>39132.416666666664</v>
      </c>
      <c r="L114" s="187">
        <v>37342.615384615383</v>
      </c>
      <c r="M114" s="187">
        <v>38265.714285714283</v>
      </c>
      <c r="N114" s="187">
        <v>31736.888888888891</v>
      </c>
      <c r="O114" s="187">
        <v>30240</v>
      </c>
      <c r="P114" s="187">
        <v>41582.1875</v>
      </c>
      <c r="Q114" s="147">
        <v>39808.631578947367</v>
      </c>
      <c r="R114" s="59">
        <v>41698.105960264904</v>
      </c>
      <c r="S114" s="60">
        <v>36991.158590308369</v>
      </c>
    </row>
    <row r="115" spans="1:19" s="15" customFormat="1">
      <c r="A115" s="665" t="s">
        <v>120</v>
      </c>
      <c r="B115" s="666"/>
      <c r="C115" s="126"/>
      <c r="D115" s="13"/>
      <c r="E115" s="13"/>
      <c r="F115" s="13"/>
      <c r="G115" s="13"/>
      <c r="H115" s="13"/>
      <c r="I115" s="13"/>
      <c r="J115" s="13" t="s">
        <v>121</v>
      </c>
      <c r="K115" s="13"/>
      <c r="L115" s="13"/>
      <c r="M115" s="13"/>
      <c r="N115" s="13"/>
      <c r="O115" s="13"/>
      <c r="P115" s="13"/>
      <c r="Q115" s="13"/>
      <c r="R115" s="127"/>
      <c r="S115" s="58"/>
    </row>
    <row r="116" spans="1:19" s="21" customFormat="1">
      <c r="A116" s="16">
        <v>33</v>
      </c>
      <c r="B116" s="66" t="s">
        <v>122</v>
      </c>
      <c r="C116" s="141" t="s">
        <v>123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97"/>
      <c r="R116" s="37"/>
      <c r="S116" s="98"/>
    </row>
    <row r="117" spans="1:19" s="21" customFormat="1">
      <c r="A117" s="16"/>
      <c r="B117" s="17" t="s">
        <v>124</v>
      </c>
      <c r="C117" s="142">
        <v>1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3" t="s">
        <v>72</v>
      </c>
      <c r="N117" s="63" t="s">
        <v>72</v>
      </c>
      <c r="O117" s="63" t="s">
        <v>72</v>
      </c>
      <c r="P117" s="63" t="s">
        <v>72</v>
      </c>
      <c r="Q117" s="97">
        <v>0.46891002194586684</v>
      </c>
      <c r="R117" s="13">
        <v>0.48</v>
      </c>
      <c r="S117" s="98">
        <v>0.48293391430646332</v>
      </c>
    </row>
    <row r="118" spans="1:19" s="21" customFormat="1">
      <c r="A118" s="16"/>
      <c r="B118" s="17" t="s">
        <v>125</v>
      </c>
      <c r="C118" s="142">
        <v>6.5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3" t="s">
        <v>72</v>
      </c>
      <c r="N118" s="63" t="s">
        <v>72</v>
      </c>
      <c r="O118" s="63" t="s">
        <v>72</v>
      </c>
      <c r="P118" s="63" t="s">
        <v>72</v>
      </c>
      <c r="Q118" s="97">
        <v>4.9312362838332113</v>
      </c>
      <c r="R118" s="97">
        <v>5.0999999999999996</v>
      </c>
      <c r="S118" s="98">
        <v>4.8968772694262892</v>
      </c>
    </row>
    <row r="119" spans="1:19" s="21" customFormat="1">
      <c r="A119" s="16"/>
      <c r="B119" s="17" t="s">
        <v>126</v>
      </c>
      <c r="C119" s="143">
        <v>1.5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97">
        <v>0.99268471104608635</v>
      </c>
      <c r="R119" s="97">
        <v>1.03</v>
      </c>
      <c r="S119" s="98">
        <v>0.94045025417574435</v>
      </c>
    </row>
    <row r="120" spans="1:19" s="21" customFormat="1" ht="15">
      <c r="A120" s="77"/>
      <c r="B120" s="66" t="s">
        <v>127</v>
      </c>
      <c r="C120" s="144">
        <f>SUM(C117:C119)</f>
        <v>9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3" t="s">
        <v>72</v>
      </c>
      <c r="N120" s="63" t="s">
        <v>72</v>
      </c>
      <c r="O120" s="63" t="s">
        <v>72</v>
      </c>
      <c r="P120" s="63" t="s">
        <v>72</v>
      </c>
      <c r="Q120" s="97">
        <f>SUM(Q117:Q119)</f>
        <v>6.3928310168251645</v>
      </c>
      <c r="R120" s="97">
        <v>6.61</v>
      </c>
      <c r="S120" s="98">
        <v>6.3202614379084974</v>
      </c>
    </row>
    <row r="121" spans="1:19" s="21" customFormat="1" ht="38.25">
      <c r="A121" s="28">
        <v>34</v>
      </c>
      <c r="B121" s="11" t="s">
        <v>128</v>
      </c>
      <c r="C121" s="126"/>
      <c r="D121" s="44" t="s">
        <v>72</v>
      </c>
      <c r="E121" s="44" t="s">
        <v>72</v>
      </c>
      <c r="F121" s="44" t="s">
        <v>72</v>
      </c>
      <c r="G121" s="44" t="s">
        <v>72</v>
      </c>
      <c r="H121" s="44" t="s">
        <v>72</v>
      </c>
      <c r="I121" s="44" t="s">
        <v>72</v>
      </c>
      <c r="J121" s="44" t="s">
        <v>72</v>
      </c>
      <c r="K121" s="44" t="s">
        <v>72</v>
      </c>
      <c r="L121" s="44" t="s">
        <v>72</v>
      </c>
      <c r="M121" s="44" t="s">
        <v>72</v>
      </c>
      <c r="N121" s="44" t="s">
        <v>72</v>
      </c>
      <c r="O121" s="44" t="s">
        <v>72</v>
      </c>
      <c r="P121" s="44" t="s">
        <v>72</v>
      </c>
      <c r="Q121" s="145">
        <v>1073.3900000000001</v>
      </c>
      <c r="R121" s="97">
        <v>1164.6099999999999</v>
      </c>
      <c r="S121" s="140">
        <v>1014.07</v>
      </c>
    </row>
    <row r="122" spans="1:19" s="21" customFormat="1" ht="25.5">
      <c r="A122" s="39">
        <v>35</v>
      </c>
      <c r="B122" s="40" t="s">
        <v>129</v>
      </c>
      <c r="C122" s="146">
        <v>37</v>
      </c>
      <c r="D122" s="13">
        <v>259</v>
      </c>
      <c r="E122" s="13">
        <v>258</v>
      </c>
      <c r="F122" s="13">
        <v>120</v>
      </c>
      <c r="G122" s="13">
        <v>104</v>
      </c>
      <c r="H122" s="13">
        <v>292</v>
      </c>
      <c r="I122" s="13">
        <v>91</v>
      </c>
      <c r="J122" s="13">
        <v>160</v>
      </c>
      <c r="K122" s="13">
        <v>123</v>
      </c>
      <c r="L122" s="13">
        <v>33</v>
      </c>
      <c r="M122" s="13">
        <v>141</v>
      </c>
      <c r="N122" s="13">
        <v>109</v>
      </c>
      <c r="O122" s="13">
        <v>52</v>
      </c>
      <c r="P122" s="13">
        <v>23</v>
      </c>
      <c r="Q122" s="147">
        <f>SUM(C122:P122)</f>
        <v>1802</v>
      </c>
      <c r="R122" s="59">
        <v>1967</v>
      </c>
      <c r="S122" s="60">
        <v>2374</v>
      </c>
    </row>
    <row r="123" spans="1:19" s="21" customFormat="1" ht="38.25">
      <c r="A123" s="81">
        <v>36</v>
      </c>
      <c r="B123" s="82" t="s">
        <v>130</v>
      </c>
      <c r="C123" s="148"/>
      <c r="D123" s="113" t="s">
        <v>72</v>
      </c>
      <c r="E123" s="113" t="s">
        <v>72</v>
      </c>
      <c r="F123" s="113" t="s">
        <v>72</v>
      </c>
      <c r="G123" s="113" t="s">
        <v>72</v>
      </c>
      <c r="H123" s="113" t="s">
        <v>72</v>
      </c>
      <c r="I123" s="113" t="s">
        <v>72</v>
      </c>
      <c r="J123" s="113" t="s">
        <v>72</v>
      </c>
      <c r="K123" s="113" t="s">
        <v>72</v>
      </c>
      <c r="L123" s="113" t="s">
        <v>72</v>
      </c>
      <c r="M123" s="113" t="s">
        <v>72</v>
      </c>
      <c r="N123" s="113" t="s">
        <v>72</v>
      </c>
      <c r="O123" s="113" t="s">
        <v>72</v>
      </c>
      <c r="P123" s="113" t="s">
        <v>72</v>
      </c>
      <c r="Q123" s="113">
        <v>1316</v>
      </c>
      <c r="R123" s="45">
        <v>1292</v>
      </c>
      <c r="S123" s="182">
        <v>1914</v>
      </c>
    </row>
    <row r="124" spans="1:19" s="21" customFormat="1">
      <c r="A124" s="28">
        <v>37</v>
      </c>
      <c r="B124" s="11" t="s">
        <v>131</v>
      </c>
      <c r="C124" s="29"/>
      <c r="D124" s="44" t="s">
        <v>72</v>
      </c>
      <c r="E124" s="44" t="s">
        <v>72</v>
      </c>
      <c r="F124" s="44" t="s">
        <v>72</v>
      </c>
      <c r="G124" s="44" t="s">
        <v>72</v>
      </c>
      <c r="H124" s="44" t="s">
        <v>72</v>
      </c>
      <c r="I124" s="44" t="s">
        <v>72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44" t="s">
        <v>72</v>
      </c>
      <c r="O124" s="44" t="s">
        <v>72</v>
      </c>
      <c r="P124" s="44" t="s">
        <v>72</v>
      </c>
      <c r="Q124" s="44">
        <v>312</v>
      </c>
      <c r="R124" s="167">
        <v>311</v>
      </c>
      <c r="S124" s="14">
        <v>319</v>
      </c>
    </row>
    <row r="125" spans="1:19" s="15" customFormat="1" ht="15" thickBot="1">
      <c r="A125" s="101"/>
      <c r="B125" s="71" t="s">
        <v>132</v>
      </c>
      <c r="C125" s="102"/>
      <c r="D125" s="150" t="s">
        <v>72</v>
      </c>
      <c r="E125" s="150" t="s">
        <v>72</v>
      </c>
      <c r="F125" s="150" t="s">
        <v>72</v>
      </c>
      <c r="G125" s="150" t="s">
        <v>72</v>
      </c>
      <c r="H125" s="150" t="s">
        <v>72</v>
      </c>
      <c r="I125" s="150" t="s">
        <v>72</v>
      </c>
      <c r="J125" s="150" t="s">
        <v>72</v>
      </c>
      <c r="K125" s="150" t="s">
        <v>72</v>
      </c>
      <c r="L125" s="150" t="s">
        <v>72</v>
      </c>
      <c r="M125" s="150" t="s">
        <v>72</v>
      </c>
      <c r="N125" s="150" t="s">
        <v>72</v>
      </c>
      <c r="O125" s="150" t="s">
        <v>72</v>
      </c>
      <c r="P125" s="150" t="s">
        <v>72</v>
      </c>
      <c r="Q125" s="151">
        <v>21.69</v>
      </c>
      <c r="R125" s="124">
        <v>21.78</v>
      </c>
      <c r="S125" s="152">
        <v>21.41</v>
      </c>
    </row>
    <row r="126" spans="1:19" s="15" customFormat="1" ht="18" customHeight="1" thickTop="1">
      <c r="A126" s="10">
        <v>38</v>
      </c>
      <c r="B126" s="11" t="s">
        <v>133</v>
      </c>
      <c r="C126" s="35"/>
      <c r="D126" s="13" t="s">
        <v>72</v>
      </c>
      <c r="E126" s="13" t="s">
        <v>72</v>
      </c>
      <c r="F126" s="13" t="s">
        <v>72</v>
      </c>
      <c r="G126" s="13" t="s">
        <v>72</v>
      </c>
      <c r="H126" s="13" t="s">
        <v>72</v>
      </c>
      <c r="I126" s="13" t="s">
        <v>72</v>
      </c>
      <c r="J126" s="13" t="s">
        <v>72</v>
      </c>
      <c r="K126" s="13" t="s">
        <v>72</v>
      </c>
      <c r="L126" s="13" t="s">
        <v>72</v>
      </c>
      <c r="M126" s="13" t="s">
        <v>72</v>
      </c>
      <c r="N126" s="13" t="s">
        <v>72</v>
      </c>
      <c r="O126" s="13" t="s">
        <v>72</v>
      </c>
      <c r="P126" s="13" t="s">
        <v>72</v>
      </c>
      <c r="Q126" s="36">
        <v>417016294</v>
      </c>
      <c r="R126" s="44">
        <v>399870719</v>
      </c>
      <c r="S126" s="49">
        <v>419291050</v>
      </c>
    </row>
    <row r="127" spans="1:19" s="21" customFormat="1" ht="18" customHeight="1">
      <c r="A127" s="16"/>
      <c r="B127" s="17" t="s">
        <v>134</v>
      </c>
      <c r="C127" s="18"/>
      <c r="D127" s="63" t="s">
        <v>72</v>
      </c>
      <c r="E127" s="63" t="s">
        <v>72</v>
      </c>
      <c r="F127" s="63" t="s">
        <v>72</v>
      </c>
      <c r="G127" s="63" t="s">
        <v>72</v>
      </c>
      <c r="H127" s="63" t="s">
        <v>72</v>
      </c>
      <c r="I127" s="63" t="s">
        <v>72</v>
      </c>
      <c r="J127" s="63" t="s">
        <v>72</v>
      </c>
      <c r="K127" s="63" t="s">
        <v>72</v>
      </c>
      <c r="L127" s="63" t="s">
        <v>72</v>
      </c>
      <c r="M127" s="63" t="s">
        <v>72</v>
      </c>
      <c r="N127" s="63" t="s">
        <v>72</v>
      </c>
      <c r="O127" s="63" t="s">
        <v>72</v>
      </c>
      <c r="P127" s="63" t="s">
        <v>72</v>
      </c>
      <c r="Q127" s="37">
        <f>Q126/30</f>
        <v>13900543.133333333</v>
      </c>
      <c r="R127" s="128">
        <v>12899055.451612903</v>
      </c>
      <c r="S127" s="38">
        <v>13976368.333333334</v>
      </c>
    </row>
    <row r="128" spans="1:19" s="15" customFormat="1" ht="18" customHeight="1">
      <c r="A128" s="88"/>
      <c r="B128" s="17" t="s">
        <v>135</v>
      </c>
      <c r="C128" s="89"/>
      <c r="D128" s="19" t="s">
        <v>72</v>
      </c>
      <c r="E128" s="19" t="s">
        <v>72</v>
      </c>
      <c r="F128" s="19" t="s">
        <v>72</v>
      </c>
      <c r="G128" s="19" t="s">
        <v>72</v>
      </c>
      <c r="H128" s="19" t="s">
        <v>72</v>
      </c>
      <c r="I128" s="19" t="s">
        <v>72</v>
      </c>
      <c r="J128" s="19" t="s">
        <v>72</v>
      </c>
      <c r="K128" s="19" t="s">
        <v>72</v>
      </c>
      <c r="L128" s="19" t="s">
        <v>72</v>
      </c>
      <c r="M128" s="19" t="s">
        <v>72</v>
      </c>
      <c r="N128" s="19" t="s">
        <v>72</v>
      </c>
      <c r="O128" s="19" t="s">
        <v>72</v>
      </c>
      <c r="P128" s="19" t="s">
        <v>72</v>
      </c>
      <c r="Q128" s="90">
        <f>SUM(Q127/Q130)</f>
        <v>13.381694685300189</v>
      </c>
      <c r="R128" s="100">
        <v>13.410700496973433</v>
      </c>
      <c r="S128" s="91">
        <v>13.785426392372582</v>
      </c>
    </row>
    <row r="129" spans="1:19" s="21" customFormat="1" ht="18" customHeight="1">
      <c r="A129" s="77"/>
      <c r="B129" s="78" t="s">
        <v>136</v>
      </c>
      <c r="C129" s="41"/>
      <c r="D129" s="100">
        <v>46.760074349452381</v>
      </c>
      <c r="E129" s="100">
        <v>47.625639921061975</v>
      </c>
      <c r="F129" s="100">
        <v>54.054261693801926</v>
      </c>
      <c r="G129" s="100">
        <v>56.027204139708928</v>
      </c>
      <c r="H129" s="100">
        <v>49.284408242756463</v>
      </c>
      <c r="I129" s="100">
        <v>50.436855297931594</v>
      </c>
      <c r="J129" s="100">
        <v>52.5179758386071</v>
      </c>
      <c r="K129" s="100">
        <v>41.341801219171138</v>
      </c>
      <c r="L129" s="100">
        <v>46.428923086159678</v>
      </c>
      <c r="M129" s="100">
        <v>42.344363132188093</v>
      </c>
      <c r="N129" s="100">
        <v>49.728190693120119</v>
      </c>
      <c r="O129" s="100">
        <v>48.958921721102904</v>
      </c>
      <c r="P129" s="100">
        <v>45.206074881508847</v>
      </c>
      <c r="Q129" s="107">
        <f>Q126/Q34</f>
        <v>48.416780205578675</v>
      </c>
      <c r="R129" s="107">
        <v>44.849215742991923</v>
      </c>
      <c r="S129" s="108">
        <v>48.896009949110208</v>
      </c>
    </row>
    <row r="130" spans="1:19" s="21" customFormat="1" ht="63.75">
      <c r="A130" s="81">
        <v>39</v>
      </c>
      <c r="B130" s="82" t="s">
        <v>137</v>
      </c>
      <c r="C130" s="148"/>
      <c r="D130" s="113" t="s">
        <v>72</v>
      </c>
      <c r="E130" s="113" t="s">
        <v>72</v>
      </c>
      <c r="F130" s="113" t="s">
        <v>72</v>
      </c>
      <c r="G130" s="113" t="s">
        <v>72</v>
      </c>
      <c r="H130" s="113" t="s">
        <v>72</v>
      </c>
      <c r="I130" s="113" t="s">
        <v>72</v>
      </c>
      <c r="J130" s="113" t="s">
        <v>72</v>
      </c>
      <c r="K130" s="113" t="s">
        <v>72</v>
      </c>
      <c r="L130" s="113" t="s">
        <v>72</v>
      </c>
      <c r="M130" s="113" t="s">
        <v>72</v>
      </c>
      <c r="N130" s="113" t="s">
        <v>72</v>
      </c>
      <c r="O130" s="113" t="s">
        <v>72</v>
      </c>
      <c r="P130" s="113" t="s">
        <v>72</v>
      </c>
      <c r="Q130" s="45">
        <v>1038773</v>
      </c>
      <c r="R130" s="36">
        <v>961848</v>
      </c>
      <c r="S130" s="46">
        <v>1013851</v>
      </c>
    </row>
    <row r="131" spans="1:19" s="21" customFormat="1" ht="38.25">
      <c r="A131" s="16"/>
      <c r="B131" s="17" t="s">
        <v>138</v>
      </c>
      <c r="C131" s="89"/>
      <c r="D131" s="63" t="s">
        <v>72</v>
      </c>
      <c r="E131" s="63" t="s">
        <v>72</v>
      </c>
      <c r="F131" s="63" t="s">
        <v>72</v>
      </c>
      <c r="G131" s="63" t="s">
        <v>72</v>
      </c>
      <c r="H131" s="63" t="s">
        <v>72</v>
      </c>
      <c r="I131" s="63" t="s">
        <v>72</v>
      </c>
      <c r="J131" s="63" t="s">
        <v>72</v>
      </c>
      <c r="K131" s="63" t="s">
        <v>72</v>
      </c>
      <c r="L131" s="63" t="s">
        <v>72</v>
      </c>
      <c r="M131" s="63" t="s">
        <v>72</v>
      </c>
      <c r="N131" s="63" t="s">
        <v>72</v>
      </c>
      <c r="O131" s="63" t="s">
        <v>72</v>
      </c>
      <c r="P131" s="63" t="s">
        <v>72</v>
      </c>
      <c r="Q131" s="37">
        <f>SUM(Q130-Q65)</f>
        <v>221188.73333333328</v>
      </c>
      <c r="R131" s="37">
        <v>201433.93548387091</v>
      </c>
      <c r="S131" s="38">
        <v>202734.2333333334</v>
      </c>
    </row>
    <row r="132" spans="1:19" s="21" customFormat="1" ht="25.5">
      <c r="A132" s="16"/>
      <c r="B132" s="17" t="s">
        <v>139</v>
      </c>
      <c r="C132" s="89"/>
      <c r="D132" s="63" t="s">
        <v>72</v>
      </c>
      <c r="E132" s="63" t="s">
        <v>72</v>
      </c>
      <c r="F132" s="63" t="s">
        <v>72</v>
      </c>
      <c r="G132" s="63" t="s">
        <v>72</v>
      </c>
      <c r="H132" s="63" t="s">
        <v>72</v>
      </c>
      <c r="I132" s="63" t="s">
        <v>72</v>
      </c>
      <c r="J132" s="63" t="s">
        <v>72</v>
      </c>
      <c r="K132" s="63" t="s">
        <v>72</v>
      </c>
      <c r="L132" s="63" t="s">
        <v>72</v>
      </c>
      <c r="M132" s="63" t="s">
        <v>72</v>
      </c>
      <c r="N132" s="63" t="s">
        <v>72</v>
      </c>
      <c r="O132" s="63" t="s">
        <v>72</v>
      </c>
      <c r="P132" s="63" t="s">
        <v>72</v>
      </c>
      <c r="Q132" s="97">
        <f>SUM(Q131/Q130)*100</f>
        <v>21.293269398928665</v>
      </c>
      <c r="R132" s="145">
        <v>20.942387516933124</v>
      </c>
      <c r="S132" s="98">
        <v>19.996452470169029</v>
      </c>
    </row>
    <row r="133" spans="1:19" s="15" customFormat="1" ht="25.5">
      <c r="A133" s="88"/>
      <c r="B133" s="17" t="s">
        <v>140</v>
      </c>
      <c r="C133" s="89"/>
      <c r="D133" s="63" t="s">
        <v>72</v>
      </c>
      <c r="E133" s="63" t="s">
        <v>72</v>
      </c>
      <c r="F133" s="63" t="s">
        <v>72</v>
      </c>
      <c r="G133" s="63" t="s">
        <v>72</v>
      </c>
      <c r="H133" s="63" t="s">
        <v>72</v>
      </c>
      <c r="I133" s="63" t="s">
        <v>72</v>
      </c>
      <c r="J133" s="63" t="s">
        <v>72</v>
      </c>
      <c r="K133" s="63" t="s">
        <v>72</v>
      </c>
      <c r="L133" s="63" t="s">
        <v>72</v>
      </c>
      <c r="M133" s="63" t="s">
        <v>72</v>
      </c>
      <c r="N133" s="63" t="s">
        <v>72</v>
      </c>
      <c r="O133" s="63" t="s">
        <v>72</v>
      </c>
      <c r="P133" s="63" t="s">
        <v>72</v>
      </c>
      <c r="Q133" s="90">
        <f>Q130/1367</f>
        <v>759.89246525237752</v>
      </c>
      <c r="R133" s="97">
        <v>727.57034795763991</v>
      </c>
      <c r="S133" s="91">
        <v>736.27523602033409</v>
      </c>
    </row>
    <row r="134" spans="1:19" s="15" customFormat="1" ht="26.25" thickBot="1">
      <c r="A134" s="101"/>
      <c r="B134" s="71" t="s">
        <v>141</v>
      </c>
      <c r="C134" s="102"/>
      <c r="D134" s="124" t="s">
        <v>72</v>
      </c>
      <c r="E134" s="124" t="s">
        <v>72</v>
      </c>
      <c r="F134" s="124" t="s">
        <v>72</v>
      </c>
      <c r="G134" s="124" t="s">
        <v>72</v>
      </c>
      <c r="H134" s="124" t="s">
        <v>72</v>
      </c>
      <c r="I134" s="124" t="s">
        <v>72</v>
      </c>
      <c r="J134" s="124" t="s">
        <v>72</v>
      </c>
      <c r="K134" s="124" t="s">
        <v>72</v>
      </c>
      <c r="L134" s="124" t="s">
        <v>72</v>
      </c>
      <c r="M134" s="124" t="s">
        <v>72</v>
      </c>
      <c r="N134" s="124" t="s">
        <v>72</v>
      </c>
      <c r="O134" s="124" t="s">
        <v>72</v>
      </c>
      <c r="P134" s="124" t="s">
        <v>72</v>
      </c>
      <c r="Q134" s="151">
        <f>Q127/1367</f>
        <v>10168.648963667398</v>
      </c>
      <c r="R134" s="73">
        <v>9757.2280269386556</v>
      </c>
      <c r="S134" s="152">
        <v>10149.868070685065</v>
      </c>
    </row>
    <row r="135" spans="1:19" ht="13.5" thickTop="1">
      <c r="A135" s="153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S135" s="15"/>
    </row>
    <row r="136" spans="1:19" ht="12.75">
      <c r="A136" s="153"/>
      <c r="C136" s="155"/>
      <c r="D136" s="155">
        <f>D129*D34</f>
        <v>33357421.278966244</v>
      </c>
      <c r="E136" s="155">
        <f t="shared" ref="E136:Q136" si="38">E129*E34</f>
        <v>50726307.208122715</v>
      </c>
      <c r="F136" s="155">
        <f t="shared" si="38"/>
        <v>34186725.916768417</v>
      </c>
      <c r="G136" s="155">
        <f t="shared" si="38"/>
        <v>54639858.510801457</v>
      </c>
      <c r="H136" s="155">
        <f t="shared" si="38"/>
        <v>35833017.56342797</v>
      </c>
      <c r="I136" s="155">
        <f t="shared" si="38"/>
        <v>20799553.882603414</v>
      </c>
      <c r="J136" s="155">
        <f t="shared" si="38"/>
        <v>30615354.01511601</v>
      </c>
      <c r="K136" s="155">
        <f t="shared" si="38"/>
        <v>42435870.646635287</v>
      </c>
      <c r="L136" s="155">
        <f t="shared" si="38"/>
        <v>35481540.169520259</v>
      </c>
      <c r="M136" s="155">
        <f t="shared" si="38"/>
        <v>28119113.092834562</v>
      </c>
      <c r="N136" s="155">
        <f t="shared" si="38"/>
        <v>22688735.644689519</v>
      </c>
      <c r="O136" s="155">
        <f t="shared" si="38"/>
        <v>17003874.144034527</v>
      </c>
      <c r="P136" s="155">
        <f t="shared" si="38"/>
        <v>11128921.926479612</v>
      </c>
      <c r="Q136" s="155">
        <f t="shared" si="38"/>
        <v>417016294</v>
      </c>
      <c r="S136" s="15"/>
    </row>
    <row r="137" spans="1:19" ht="12.75">
      <c r="A137" s="153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S137" s="31"/>
    </row>
    <row r="138" spans="1:19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156"/>
      <c r="N138" s="155"/>
      <c r="O138" s="155"/>
      <c r="P138" s="155"/>
      <c r="Q138" s="158"/>
      <c r="R138" s="159"/>
      <c r="S138" s="31"/>
    </row>
    <row r="139" spans="1:19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156"/>
      <c r="N139" s="155"/>
      <c r="O139" s="155"/>
      <c r="P139" s="155"/>
      <c r="Q139" s="158"/>
      <c r="R139" s="159"/>
      <c r="S139" s="31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N140" s="155"/>
      <c r="O140" s="155"/>
      <c r="P140" s="155"/>
      <c r="Q140" s="155"/>
      <c r="R140" s="159"/>
      <c r="S140" s="31"/>
    </row>
    <row r="141" spans="1:19" s="161" customFormat="1" ht="16.5">
      <c r="A141" s="660" t="s">
        <v>142</v>
      </c>
      <c r="B141" s="660"/>
      <c r="C141" s="160"/>
      <c r="D141" s="160"/>
      <c r="E141" s="160"/>
      <c r="F141" s="160"/>
      <c r="G141" s="160"/>
      <c r="I141" s="162"/>
      <c r="J141" s="162"/>
      <c r="K141" s="162"/>
      <c r="L141" s="162"/>
      <c r="M141" s="661" t="s">
        <v>143</v>
      </c>
      <c r="N141" s="661"/>
      <c r="O141" s="661"/>
      <c r="P141" s="661"/>
      <c r="Q141" s="661"/>
      <c r="R141" s="661"/>
      <c r="S141" s="163"/>
    </row>
    <row r="142" spans="1:19" s="161" customFormat="1" ht="16.5">
      <c r="A142" s="660" t="s">
        <v>163</v>
      </c>
      <c r="B142" s="660"/>
      <c r="C142" s="160"/>
      <c r="D142" s="160"/>
      <c r="E142" s="160"/>
      <c r="F142" s="160"/>
      <c r="G142" s="160"/>
      <c r="I142" s="162"/>
      <c r="J142" s="162"/>
      <c r="K142" s="162"/>
      <c r="L142" s="162"/>
      <c r="M142" s="661" t="s">
        <v>144</v>
      </c>
      <c r="N142" s="661"/>
      <c r="O142" s="661"/>
      <c r="P142" s="661"/>
      <c r="Q142" s="661"/>
      <c r="R142" s="661"/>
    </row>
    <row r="143" spans="1:19">
      <c r="R143" s="164"/>
    </row>
    <row r="149" spans="4:17">
      <c r="H149" s="165"/>
    </row>
    <row r="150" spans="4:17">
      <c r="H150" s="165"/>
    </row>
    <row r="151" spans="4:17">
      <c r="H151" s="165"/>
    </row>
    <row r="152" spans="4:17">
      <c r="D152" s="189" t="e">
        <f>D131*D36</f>
        <v>#VALUE!</v>
      </c>
      <c r="E152" s="189" t="e">
        <f t="shared" ref="E152:N152" si="39">E131*E36</f>
        <v>#VALUE!</v>
      </c>
      <c r="F152" s="189" t="e">
        <f t="shared" si="39"/>
        <v>#VALUE!</v>
      </c>
      <c r="G152" s="189" t="e">
        <f t="shared" si="39"/>
        <v>#VALUE!</v>
      </c>
      <c r="H152" s="189" t="e">
        <f t="shared" si="39"/>
        <v>#VALUE!</v>
      </c>
      <c r="I152" s="189" t="e">
        <f t="shared" si="39"/>
        <v>#VALUE!</v>
      </c>
      <c r="J152" s="189" t="e">
        <f t="shared" si="39"/>
        <v>#VALUE!</v>
      </c>
      <c r="K152" s="189" t="e">
        <f t="shared" si="39"/>
        <v>#VALUE!</v>
      </c>
      <c r="L152" s="189" t="e">
        <f t="shared" si="39"/>
        <v>#VALUE!</v>
      </c>
      <c r="M152" s="189" t="e">
        <f t="shared" si="39"/>
        <v>#VALUE!</v>
      </c>
      <c r="N152" s="189" t="e">
        <f t="shared" si="39"/>
        <v>#VALUE!</v>
      </c>
      <c r="O152" s="189" t="e">
        <f>O131*O36</f>
        <v>#VALUE!</v>
      </c>
      <c r="P152" s="189" t="e">
        <f>P131*P36</f>
        <v>#VALUE!</v>
      </c>
      <c r="Q152" s="189">
        <f>Q131*Q36</f>
        <v>46454774.035670958</v>
      </c>
    </row>
    <row r="154" spans="4:17"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83" right="0.15748031496062992" top="0.74803149606299213" bottom="0.74803149606299213" header="0.31496062992125984" footer="0.31496062992125984"/>
  <pageSetup paperSize="5" scale="78" orientation="landscape" verticalDpi="0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2"/>
  <sheetViews>
    <sheetView topLeftCell="A29" zoomScaleSheetLayoutView="85" workbookViewId="0">
      <selection activeCell="T120" sqref="T120"/>
    </sheetView>
  </sheetViews>
  <sheetFormatPr defaultRowHeight="14.25"/>
  <cols>
    <col min="1" max="1" width="3.7109375" style="186" customWidth="1"/>
    <col min="2" max="2" width="27.28515625" style="307" customWidth="1"/>
    <col min="3" max="3" width="7.140625" style="186" customWidth="1"/>
    <col min="4" max="15" width="10.140625" style="186" customWidth="1"/>
    <col min="16" max="16" width="9.42578125" style="186" bestFit="1" customWidth="1"/>
    <col min="17" max="17" width="12.140625" style="31" bestFit="1" customWidth="1"/>
    <col min="18" max="18" width="11.7109375" style="31" bestFit="1" customWidth="1"/>
    <col min="19" max="19" width="11.7109375" style="163" bestFit="1" customWidth="1"/>
    <col min="20" max="20" width="14.140625" style="31" customWidth="1"/>
    <col min="21" max="21" width="12.140625" style="31" customWidth="1"/>
    <col min="22" max="252" width="9.140625" style="31"/>
    <col min="253" max="253" width="3.7109375" style="31" customWidth="1"/>
    <col min="254" max="254" width="30.42578125" style="31" customWidth="1"/>
    <col min="255" max="255" width="7.140625" style="31" customWidth="1"/>
    <col min="256" max="256" width="10.7109375" style="31" customWidth="1"/>
    <col min="257" max="257" width="10.42578125" style="31" customWidth="1"/>
    <col min="258" max="258" width="10.5703125" style="31" customWidth="1"/>
    <col min="259" max="259" width="10.42578125" style="31" customWidth="1"/>
    <col min="260" max="262" width="10.5703125" style="31" customWidth="1"/>
    <col min="263" max="265" width="10.42578125" style="31" customWidth="1"/>
    <col min="266" max="266" width="10.5703125" style="31" customWidth="1"/>
    <col min="267" max="267" width="10.28515625" style="31" customWidth="1"/>
    <col min="268" max="268" width="10.140625" style="31" customWidth="1"/>
    <col min="269" max="269" width="11.7109375" style="31" customWidth="1"/>
    <col min="270" max="270" width="12.42578125" style="31" customWidth="1"/>
    <col min="271" max="271" width="11.7109375" style="31" customWidth="1"/>
    <col min="272" max="272" width="13.140625" style="31" customWidth="1"/>
    <col min="273" max="508" width="9.140625" style="31"/>
    <col min="509" max="509" width="3.7109375" style="31" customWidth="1"/>
    <col min="510" max="510" width="30.42578125" style="31" customWidth="1"/>
    <col min="511" max="511" width="7.140625" style="31" customWidth="1"/>
    <col min="512" max="512" width="10.7109375" style="31" customWidth="1"/>
    <col min="513" max="513" width="10.42578125" style="31" customWidth="1"/>
    <col min="514" max="514" width="10.5703125" style="31" customWidth="1"/>
    <col min="515" max="515" width="10.42578125" style="31" customWidth="1"/>
    <col min="516" max="518" width="10.5703125" style="31" customWidth="1"/>
    <col min="519" max="521" width="10.42578125" style="31" customWidth="1"/>
    <col min="522" max="522" width="10.5703125" style="31" customWidth="1"/>
    <col min="523" max="523" width="10.28515625" style="31" customWidth="1"/>
    <col min="524" max="524" width="10.140625" style="31" customWidth="1"/>
    <col min="525" max="525" width="11.7109375" style="31" customWidth="1"/>
    <col min="526" max="526" width="12.42578125" style="31" customWidth="1"/>
    <col min="527" max="527" width="11.7109375" style="31" customWidth="1"/>
    <col min="528" max="528" width="13.140625" style="31" customWidth="1"/>
    <col min="529" max="764" width="9.140625" style="31"/>
    <col min="765" max="765" width="3.7109375" style="31" customWidth="1"/>
    <col min="766" max="766" width="30.42578125" style="31" customWidth="1"/>
    <col min="767" max="767" width="7.140625" style="31" customWidth="1"/>
    <col min="768" max="768" width="10.7109375" style="31" customWidth="1"/>
    <col min="769" max="769" width="10.42578125" style="31" customWidth="1"/>
    <col min="770" max="770" width="10.5703125" style="31" customWidth="1"/>
    <col min="771" max="771" width="10.42578125" style="31" customWidth="1"/>
    <col min="772" max="774" width="10.5703125" style="31" customWidth="1"/>
    <col min="775" max="777" width="10.42578125" style="31" customWidth="1"/>
    <col min="778" max="778" width="10.5703125" style="31" customWidth="1"/>
    <col min="779" max="779" width="10.28515625" style="31" customWidth="1"/>
    <col min="780" max="780" width="10.140625" style="31" customWidth="1"/>
    <col min="781" max="781" width="11.7109375" style="31" customWidth="1"/>
    <col min="782" max="782" width="12.42578125" style="31" customWidth="1"/>
    <col min="783" max="783" width="11.7109375" style="31" customWidth="1"/>
    <col min="784" max="784" width="13.140625" style="31" customWidth="1"/>
    <col min="785" max="1020" width="9.140625" style="31"/>
    <col min="1021" max="1021" width="3.7109375" style="31" customWidth="1"/>
    <col min="1022" max="1022" width="30.42578125" style="31" customWidth="1"/>
    <col min="1023" max="1023" width="7.140625" style="31" customWidth="1"/>
    <col min="1024" max="1024" width="10.7109375" style="31" customWidth="1"/>
    <col min="1025" max="1025" width="10.42578125" style="31" customWidth="1"/>
    <col min="1026" max="1026" width="10.5703125" style="31" customWidth="1"/>
    <col min="1027" max="1027" width="10.42578125" style="31" customWidth="1"/>
    <col min="1028" max="1030" width="10.5703125" style="31" customWidth="1"/>
    <col min="1031" max="1033" width="10.42578125" style="31" customWidth="1"/>
    <col min="1034" max="1034" width="10.5703125" style="31" customWidth="1"/>
    <col min="1035" max="1035" width="10.28515625" style="31" customWidth="1"/>
    <col min="1036" max="1036" width="10.140625" style="31" customWidth="1"/>
    <col min="1037" max="1037" width="11.7109375" style="31" customWidth="1"/>
    <col min="1038" max="1038" width="12.42578125" style="31" customWidth="1"/>
    <col min="1039" max="1039" width="11.7109375" style="31" customWidth="1"/>
    <col min="1040" max="1040" width="13.140625" style="31" customWidth="1"/>
    <col min="1041" max="1276" width="9.140625" style="31"/>
    <col min="1277" max="1277" width="3.7109375" style="31" customWidth="1"/>
    <col min="1278" max="1278" width="30.42578125" style="31" customWidth="1"/>
    <col min="1279" max="1279" width="7.140625" style="31" customWidth="1"/>
    <col min="1280" max="1280" width="10.7109375" style="31" customWidth="1"/>
    <col min="1281" max="1281" width="10.42578125" style="31" customWidth="1"/>
    <col min="1282" max="1282" width="10.5703125" style="31" customWidth="1"/>
    <col min="1283" max="1283" width="10.42578125" style="31" customWidth="1"/>
    <col min="1284" max="1286" width="10.5703125" style="31" customWidth="1"/>
    <col min="1287" max="1289" width="10.42578125" style="31" customWidth="1"/>
    <col min="1290" max="1290" width="10.5703125" style="31" customWidth="1"/>
    <col min="1291" max="1291" width="10.28515625" style="31" customWidth="1"/>
    <col min="1292" max="1292" width="10.140625" style="31" customWidth="1"/>
    <col min="1293" max="1293" width="11.7109375" style="31" customWidth="1"/>
    <col min="1294" max="1294" width="12.42578125" style="31" customWidth="1"/>
    <col min="1295" max="1295" width="11.7109375" style="31" customWidth="1"/>
    <col min="1296" max="1296" width="13.140625" style="31" customWidth="1"/>
    <col min="1297" max="1532" width="9.140625" style="31"/>
    <col min="1533" max="1533" width="3.7109375" style="31" customWidth="1"/>
    <col min="1534" max="1534" width="30.42578125" style="31" customWidth="1"/>
    <col min="1535" max="1535" width="7.140625" style="31" customWidth="1"/>
    <col min="1536" max="1536" width="10.7109375" style="31" customWidth="1"/>
    <col min="1537" max="1537" width="10.42578125" style="31" customWidth="1"/>
    <col min="1538" max="1538" width="10.5703125" style="31" customWidth="1"/>
    <col min="1539" max="1539" width="10.42578125" style="31" customWidth="1"/>
    <col min="1540" max="1542" width="10.5703125" style="31" customWidth="1"/>
    <col min="1543" max="1545" width="10.42578125" style="31" customWidth="1"/>
    <col min="1546" max="1546" width="10.5703125" style="31" customWidth="1"/>
    <col min="1547" max="1547" width="10.28515625" style="31" customWidth="1"/>
    <col min="1548" max="1548" width="10.140625" style="31" customWidth="1"/>
    <col min="1549" max="1549" width="11.7109375" style="31" customWidth="1"/>
    <col min="1550" max="1550" width="12.42578125" style="31" customWidth="1"/>
    <col min="1551" max="1551" width="11.7109375" style="31" customWidth="1"/>
    <col min="1552" max="1552" width="13.140625" style="31" customWidth="1"/>
    <col min="1553" max="1788" width="9.140625" style="31"/>
    <col min="1789" max="1789" width="3.7109375" style="31" customWidth="1"/>
    <col min="1790" max="1790" width="30.42578125" style="31" customWidth="1"/>
    <col min="1791" max="1791" width="7.140625" style="31" customWidth="1"/>
    <col min="1792" max="1792" width="10.7109375" style="31" customWidth="1"/>
    <col min="1793" max="1793" width="10.42578125" style="31" customWidth="1"/>
    <col min="1794" max="1794" width="10.5703125" style="31" customWidth="1"/>
    <col min="1795" max="1795" width="10.42578125" style="31" customWidth="1"/>
    <col min="1796" max="1798" width="10.5703125" style="31" customWidth="1"/>
    <col min="1799" max="1801" width="10.42578125" style="31" customWidth="1"/>
    <col min="1802" max="1802" width="10.5703125" style="31" customWidth="1"/>
    <col min="1803" max="1803" width="10.28515625" style="31" customWidth="1"/>
    <col min="1804" max="1804" width="10.140625" style="31" customWidth="1"/>
    <col min="1805" max="1805" width="11.7109375" style="31" customWidth="1"/>
    <col min="1806" max="1806" width="12.42578125" style="31" customWidth="1"/>
    <col min="1807" max="1807" width="11.7109375" style="31" customWidth="1"/>
    <col min="1808" max="1808" width="13.140625" style="31" customWidth="1"/>
    <col min="1809" max="2044" width="9.140625" style="31"/>
    <col min="2045" max="2045" width="3.7109375" style="31" customWidth="1"/>
    <col min="2046" max="2046" width="30.42578125" style="31" customWidth="1"/>
    <col min="2047" max="2047" width="7.140625" style="31" customWidth="1"/>
    <col min="2048" max="2048" width="10.7109375" style="31" customWidth="1"/>
    <col min="2049" max="2049" width="10.42578125" style="31" customWidth="1"/>
    <col min="2050" max="2050" width="10.5703125" style="31" customWidth="1"/>
    <col min="2051" max="2051" width="10.42578125" style="31" customWidth="1"/>
    <col min="2052" max="2054" width="10.5703125" style="31" customWidth="1"/>
    <col min="2055" max="2057" width="10.42578125" style="31" customWidth="1"/>
    <col min="2058" max="2058" width="10.5703125" style="31" customWidth="1"/>
    <col min="2059" max="2059" width="10.28515625" style="31" customWidth="1"/>
    <col min="2060" max="2060" width="10.140625" style="31" customWidth="1"/>
    <col min="2061" max="2061" width="11.7109375" style="31" customWidth="1"/>
    <col min="2062" max="2062" width="12.42578125" style="31" customWidth="1"/>
    <col min="2063" max="2063" width="11.7109375" style="31" customWidth="1"/>
    <col min="2064" max="2064" width="13.140625" style="31" customWidth="1"/>
    <col min="2065" max="2300" width="9.140625" style="31"/>
    <col min="2301" max="2301" width="3.7109375" style="31" customWidth="1"/>
    <col min="2302" max="2302" width="30.42578125" style="31" customWidth="1"/>
    <col min="2303" max="2303" width="7.140625" style="31" customWidth="1"/>
    <col min="2304" max="2304" width="10.7109375" style="31" customWidth="1"/>
    <col min="2305" max="2305" width="10.42578125" style="31" customWidth="1"/>
    <col min="2306" max="2306" width="10.5703125" style="31" customWidth="1"/>
    <col min="2307" max="2307" width="10.42578125" style="31" customWidth="1"/>
    <col min="2308" max="2310" width="10.5703125" style="31" customWidth="1"/>
    <col min="2311" max="2313" width="10.42578125" style="31" customWidth="1"/>
    <col min="2314" max="2314" width="10.5703125" style="31" customWidth="1"/>
    <col min="2315" max="2315" width="10.28515625" style="31" customWidth="1"/>
    <col min="2316" max="2316" width="10.140625" style="31" customWidth="1"/>
    <col min="2317" max="2317" width="11.7109375" style="31" customWidth="1"/>
    <col min="2318" max="2318" width="12.42578125" style="31" customWidth="1"/>
    <col min="2319" max="2319" width="11.7109375" style="31" customWidth="1"/>
    <col min="2320" max="2320" width="13.140625" style="31" customWidth="1"/>
    <col min="2321" max="2556" width="9.140625" style="31"/>
    <col min="2557" max="2557" width="3.7109375" style="31" customWidth="1"/>
    <col min="2558" max="2558" width="30.42578125" style="31" customWidth="1"/>
    <col min="2559" max="2559" width="7.140625" style="31" customWidth="1"/>
    <col min="2560" max="2560" width="10.7109375" style="31" customWidth="1"/>
    <col min="2561" max="2561" width="10.42578125" style="31" customWidth="1"/>
    <col min="2562" max="2562" width="10.5703125" style="31" customWidth="1"/>
    <col min="2563" max="2563" width="10.42578125" style="31" customWidth="1"/>
    <col min="2564" max="2566" width="10.5703125" style="31" customWidth="1"/>
    <col min="2567" max="2569" width="10.42578125" style="31" customWidth="1"/>
    <col min="2570" max="2570" width="10.5703125" style="31" customWidth="1"/>
    <col min="2571" max="2571" width="10.28515625" style="31" customWidth="1"/>
    <col min="2572" max="2572" width="10.140625" style="31" customWidth="1"/>
    <col min="2573" max="2573" width="11.7109375" style="31" customWidth="1"/>
    <col min="2574" max="2574" width="12.42578125" style="31" customWidth="1"/>
    <col min="2575" max="2575" width="11.7109375" style="31" customWidth="1"/>
    <col min="2576" max="2576" width="13.140625" style="31" customWidth="1"/>
    <col min="2577" max="2812" width="9.140625" style="31"/>
    <col min="2813" max="2813" width="3.7109375" style="31" customWidth="1"/>
    <col min="2814" max="2814" width="30.42578125" style="31" customWidth="1"/>
    <col min="2815" max="2815" width="7.140625" style="31" customWidth="1"/>
    <col min="2816" max="2816" width="10.7109375" style="31" customWidth="1"/>
    <col min="2817" max="2817" width="10.42578125" style="31" customWidth="1"/>
    <col min="2818" max="2818" width="10.5703125" style="31" customWidth="1"/>
    <col min="2819" max="2819" width="10.42578125" style="31" customWidth="1"/>
    <col min="2820" max="2822" width="10.5703125" style="31" customWidth="1"/>
    <col min="2823" max="2825" width="10.42578125" style="31" customWidth="1"/>
    <col min="2826" max="2826" width="10.5703125" style="31" customWidth="1"/>
    <col min="2827" max="2827" width="10.28515625" style="31" customWidth="1"/>
    <col min="2828" max="2828" width="10.140625" style="31" customWidth="1"/>
    <col min="2829" max="2829" width="11.7109375" style="31" customWidth="1"/>
    <col min="2830" max="2830" width="12.42578125" style="31" customWidth="1"/>
    <col min="2831" max="2831" width="11.7109375" style="31" customWidth="1"/>
    <col min="2832" max="2832" width="13.140625" style="31" customWidth="1"/>
    <col min="2833" max="3068" width="9.140625" style="31"/>
    <col min="3069" max="3069" width="3.7109375" style="31" customWidth="1"/>
    <col min="3070" max="3070" width="30.42578125" style="31" customWidth="1"/>
    <col min="3071" max="3071" width="7.140625" style="31" customWidth="1"/>
    <col min="3072" max="3072" width="10.7109375" style="31" customWidth="1"/>
    <col min="3073" max="3073" width="10.42578125" style="31" customWidth="1"/>
    <col min="3074" max="3074" width="10.5703125" style="31" customWidth="1"/>
    <col min="3075" max="3075" width="10.42578125" style="31" customWidth="1"/>
    <col min="3076" max="3078" width="10.5703125" style="31" customWidth="1"/>
    <col min="3079" max="3081" width="10.42578125" style="31" customWidth="1"/>
    <col min="3082" max="3082" width="10.5703125" style="31" customWidth="1"/>
    <col min="3083" max="3083" width="10.28515625" style="31" customWidth="1"/>
    <col min="3084" max="3084" width="10.140625" style="31" customWidth="1"/>
    <col min="3085" max="3085" width="11.7109375" style="31" customWidth="1"/>
    <col min="3086" max="3086" width="12.42578125" style="31" customWidth="1"/>
    <col min="3087" max="3087" width="11.7109375" style="31" customWidth="1"/>
    <col min="3088" max="3088" width="13.140625" style="31" customWidth="1"/>
    <col min="3089" max="3324" width="9.140625" style="31"/>
    <col min="3325" max="3325" width="3.7109375" style="31" customWidth="1"/>
    <col min="3326" max="3326" width="30.42578125" style="31" customWidth="1"/>
    <col min="3327" max="3327" width="7.140625" style="31" customWidth="1"/>
    <col min="3328" max="3328" width="10.7109375" style="31" customWidth="1"/>
    <col min="3329" max="3329" width="10.42578125" style="31" customWidth="1"/>
    <col min="3330" max="3330" width="10.5703125" style="31" customWidth="1"/>
    <col min="3331" max="3331" width="10.42578125" style="31" customWidth="1"/>
    <col min="3332" max="3334" width="10.5703125" style="31" customWidth="1"/>
    <col min="3335" max="3337" width="10.42578125" style="31" customWidth="1"/>
    <col min="3338" max="3338" width="10.5703125" style="31" customWidth="1"/>
    <col min="3339" max="3339" width="10.28515625" style="31" customWidth="1"/>
    <col min="3340" max="3340" width="10.140625" style="31" customWidth="1"/>
    <col min="3341" max="3341" width="11.7109375" style="31" customWidth="1"/>
    <col min="3342" max="3342" width="12.42578125" style="31" customWidth="1"/>
    <col min="3343" max="3343" width="11.7109375" style="31" customWidth="1"/>
    <col min="3344" max="3344" width="13.140625" style="31" customWidth="1"/>
    <col min="3345" max="3580" width="9.140625" style="31"/>
    <col min="3581" max="3581" width="3.7109375" style="31" customWidth="1"/>
    <col min="3582" max="3582" width="30.42578125" style="31" customWidth="1"/>
    <col min="3583" max="3583" width="7.140625" style="31" customWidth="1"/>
    <col min="3584" max="3584" width="10.7109375" style="31" customWidth="1"/>
    <col min="3585" max="3585" width="10.42578125" style="31" customWidth="1"/>
    <col min="3586" max="3586" width="10.5703125" style="31" customWidth="1"/>
    <col min="3587" max="3587" width="10.42578125" style="31" customWidth="1"/>
    <col min="3588" max="3590" width="10.5703125" style="31" customWidth="1"/>
    <col min="3591" max="3593" width="10.42578125" style="31" customWidth="1"/>
    <col min="3594" max="3594" width="10.5703125" style="31" customWidth="1"/>
    <col min="3595" max="3595" width="10.28515625" style="31" customWidth="1"/>
    <col min="3596" max="3596" width="10.140625" style="31" customWidth="1"/>
    <col min="3597" max="3597" width="11.7109375" style="31" customWidth="1"/>
    <col min="3598" max="3598" width="12.42578125" style="31" customWidth="1"/>
    <col min="3599" max="3599" width="11.7109375" style="31" customWidth="1"/>
    <col min="3600" max="3600" width="13.140625" style="31" customWidth="1"/>
    <col min="3601" max="3836" width="9.140625" style="31"/>
    <col min="3837" max="3837" width="3.7109375" style="31" customWidth="1"/>
    <col min="3838" max="3838" width="30.42578125" style="31" customWidth="1"/>
    <col min="3839" max="3839" width="7.140625" style="31" customWidth="1"/>
    <col min="3840" max="3840" width="10.7109375" style="31" customWidth="1"/>
    <col min="3841" max="3841" width="10.42578125" style="31" customWidth="1"/>
    <col min="3842" max="3842" width="10.5703125" style="31" customWidth="1"/>
    <col min="3843" max="3843" width="10.42578125" style="31" customWidth="1"/>
    <col min="3844" max="3846" width="10.5703125" style="31" customWidth="1"/>
    <col min="3847" max="3849" width="10.42578125" style="31" customWidth="1"/>
    <col min="3850" max="3850" width="10.5703125" style="31" customWidth="1"/>
    <col min="3851" max="3851" width="10.28515625" style="31" customWidth="1"/>
    <col min="3852" max="3852" width="10.140625" style="31" customWidth="1"/>
    <col min="3853" max="3853" width="11.7109375" style="31" customWidth="1"/>
    <col min="3854" max="3854" width="12.42578125" style="31" customWidth="1"/>
    <col min="3855" max="3855" width="11.7109375" style="31" customWidth="1"/>
    <col min="3856" max="3856" width="13.140625" style="31" customWidth="1"/>
    <col min="3857" max="4092" width="9.140625" style="31"/>
    <col min="4093" max="4093" width="3.7109375" style="31" customWidth="1"/>
    <col min="4094" max="4094" width="30.42578125" style="31" customWidth="1"/>
    <col min="4095" max="4095" width="7.140625" style="31" customWidth="1"/>
    <col min="4096" max="4096" width="10.7109375" style="31" customWidth="1"/>
    <col min="4097" max="4097" width="10.42578125" style="31" customWidth="1"/>
    <col min="4098" max="4098" width="10.5703125" style="31" customWidth="1"/>
    <col min="4099" max="4099" width="10.42578125" style="31" customWidth="1"/>
    <col min="4100" max="4102" width="10.5703125" style="31" customWidth="1"/>
    <col min="4103" max="4105" width="10.42578125" style="31" customWidth="1"/>
    <col min="4106" max="4106" width="10.5703125" style="31" customWidth="1"/>
    <col min="4107" max="4107" width="10.28515625" style="31" customWidth="1"/>
    <col min="4108" max="4108" width="10.140625" style="31" customWidth="1"/>
    <col min="4109" max="4109" width="11.7109375" style="31" customWidth="1"/>
    <col min="4110" max="4110" width="12.42578125" style="31" customWidth="1"/>
    <col min="4111" max="4111" width="11.7109375" style="31" customWidth="1"/>
    <col min="4112" max="4112" width="13.140625" style="31" customWidth="1"/>
    <col min="4113" max="4348" width="9.140625" style="31"/>
    <col min="4349" max="4349" width="3.7109375" style="31" customWidth="1"/>
    <col min="4350" max="4350" width="30.42578125" style="31" customWidth="1"/>
    <col min="4351" max="4351" width="7.140625" style="31" customWidth="1"/>
    <col min="4352" max="4352" width="10.7109375" style="31" customWidth="1"/>
    <col min="4353" max="4353" width="10.42578125" style="31" customWidth="1"/>
    <col min="4354" max="4354" width="10.5703125" style="31" customWidth="1"/>
    <col min="4355" max="4355" width="10.42578125" style="31" customWidth="1"/>
    <col min="4356" max="4358" width="10.5703125" style="31" customWidth="1"/>
    <col min="4359" max="4361" width="10.42578125" style="31" customWidth="1"/>
    <col min="4362" max="4362" width="10.5703125" style="31" customWidth="1"/>
    <col min="4363" max="4363" width="10.28515625" style="31" customWidth="1"/>
    <col min="4364" max="4364" width="10.140625" style="31" customWidth="1"/>
    <col min="4365" max="4365" width="11.7109375" style="31" customWidth="1"/>
    <col min="4366" max="4366" width="12.42578125" style="31" customWidth="1"/>
    <col min="4367" max="4367" width="11.7109375" style="31" customWidth="1"/>
    <col min="4368" max="4368" width="13.140625" style="31" customWidth="1"/>
    <col min="4369" max="4604" width="9.140625" style="31"/>
    <col min="4605" max="4605" width="3.7109375" style="31" customWidth="1"/>
    <col min="4606" max="4606" width="30.42578125" style="31" customWidth="1"/>
    <col min="4607" max="4607" width="7.140625" style="31" customWidth="1"/>
    <col min="4608" max="4608" width="10.7109375" style="31" customWidth="1"/>
    <col min="4609" max="4609" width="10.42578125" style="31" customWidth="1"/>
    <col min="4610" max="4610" width="10.5703125" style="31" customWidth="1"/>
    <col min="4611" max="4611" width="10.42578125" style="31" customWidth="1"/>
    <col min="4612" max="4614" width="10.5703125" style="31" customWidth="1"/>
    <col min="4615" max="4617" width="10.42578125" style="31" customWidth="1"/>
    <col min="4618" max="4618" width="10.5703125" style="31" customWidth="1"/>
    <col min="4619" max="4619" width="10.28515625" style="31" customWidth="1"/>
    <col min="4620" max="4620" width="10.140625" style="31" customWidth="1"/>
    <col min="4621" max="4621" width="11.7109375" style="31" customWidth="1"/>
    <col min="4622" max="4622" width="12.42578125" style="31" customWidth="1"/>
    <col min="4623" max="4623" width="11.7109375" style="31" customWidth="1"/>
    <col min="4624" max="4624" width="13.140625" style="31" customWidth="1"/>
    <col min="4625" max="4860" width="9.140625" style="31"/>
    <col min="4861" max="4861" width="3.7109375" style="31" customWidth="1"/>
    <col min="4862" max="4862" width="30.42578125" style="31" customWidth="1"/>
    <col min="4863" max="4863" width="7.140625" style="31" customWidth="1"/>
    <col min="4864" max="4864" width="10.7109375" style="31" customWidth="1"/>
    <col min="4865" max="4865" width="10.42578125" style="31" customWidth="1"/>
    <col min="4866" max="4866" width="10.5703125" style="31" customWidth="1"/>
    <col min="4867" max="4867" width="10.42578125" style="31" customWidth="1"/>
    <col min="4868" max="4870" width="10.5703125" style="31" customWidth="1"/>
    <col min="4871" max="4873" width="10.42578125" style="31" customWidth="1"/>
    <col min="4874" max="4874" width="10.5703125" style="31" customWidth="1"/>
    <col min="4875" max="4875" width="10.28515625" style="31" customWidth="1"/>
    <col min="4876" max="4876" width="10.140625" style="31" customWidth="1"/>
    <col min="4877" max="4877" width="11.7109375" style="31" customWidth="1"/>
    <col min="4878" max="4878" width="12.42578125" style="31" customWidth="1"/>
    <col min="4879" max="4879" width="11.7109375" style="31" customWidth="1"/>
    <col min="4880" max="4880" width="13.140625" style="31" customWidth="1"/>
    <col min="4881" max="5116" width="9.140625" style="31"/>
    <col min="5117" max="5117" width="3.7109375" style="31" customWidth="1"/>
    <col min="5118" max="5118" width="30.42578125" style="31" customWidth="1"/>
    <col min="5119" max="5119" width="7.140625" style="31" customWidth="1"/>
    <col min="5120" max="5120" width="10.7109375" style="31" customWidth="1"/>
    <col min="5121" max="5121" width="10.42578125" style="31" customWidth="1"/>
    <col min="5122" max="5122" width="10.5703125" style="31" customWidth="1"/>
    <col min="5123" max="5123" width="10.42578125" style="31" customWidth="1"/>
    <col min="5124" max="5126" width="10.5703125" style="31" customWidth="1"/>
    <col min="5127" max="5129" width="10.42578125" style="31" customWidth="1"/>
    <col min="5130" max="5130" width="10.5703125" style="31" customWidth="1"/>
    <col min="5131" max="5131" width="10.28515625" style="31" customWidth="1"/>
    <col min="5132" max="5132" width="10.140625" style="31" customWidth="1"/>
    <col min="5133" max="5133" width="11.7109375" style="31" customWidth="1"/>
    <col min="5134" max="5134" width="12.42578125" style="31" customWidth="1"/>
    <col min="5135" max="5135" width="11.7109375" style="31" customWidth="1"/>
    <col min="5136" max="5136" width="13.140625" style="31" customWidth="1"/>
    <col min="5137" max="5372" width="9.140625" style="31"/>
    <col min="5373" max="5373" width="3.7109375" style="31" customWidth="1"/>
    <col min="5374" max="5374" width="30.42578125" style="31" customWidth="1"/>
    <col min="5375" max="5375" width="7.140625" style="31" customWidth="1"/>
    <col min="5376" max="5376" width="10.7109375" style="31" customWidth="1"/>
    <col min="5377" max="5377" width="10.42578125" style="31" customWidth="1"/>
    <col min="5378" max="5378" width="10.5703125" style="31" customWidth="1"/>
    <col min="5379" max="5379" width="10.42578125" style="31" customWidth="1"/>
    <col min="5380" max="5382" width="10.5703125" style="31" customWidth="1"/>
    <col min="5383" max="5385" width="10.42578125" style="31" customWidth="1"/>
    <col min="5386" max="5386" width="10.5703125" style="31" customWidth="1"/>
    <col min="5387" max="5387" width="10.28515625" style="31" customWidth="1"/>
    <col min="5388" max="5388" width="10.140625" style="31" customWidth="1"/>
    <col min="5389" max="5389" width="11.7109375" style="31" customWidth="1"/>
    <col min="5390" max="5390" width="12.42578125" style="31" customWidth="1"/>
    <col min="5391" max="5391" width="11.7109375" style="31" customWidth="1"/>
    <col min="5392" max="5392" width="13.140625" style="31" customWidth="1"/>
    <col min="5393" max="5628" width="9.140625" style="31"/>
    <col min="5629" max="5629" width="3.7109375" style="31" customWidth="1"/>
    <col min="5630" max="5630" width="30.42578125" style="31" customWidth="1"/>
    <col min="5631" max="5631" width="7.140625" style="31" customWidth="1"/>
    <col min="5632" max="5632" width="10.7109375" style="31" customWidth="1"/>
    <col min="5633" max="5633" width="10.42578125" style="31" customWidth="1"/>
    <col min="5634" max="5634" width="10.5703125" style="31" customWidth="1"/>
    <col min="5635" max="5635" width="10.42578125" style="31" customWidth="1"/>
    <col min="5636" max="5638" width="10.5703125" style="31" customWidth="1"/>
    <col min="5639" max="5641" width="10.42578125" style="31" customWidth="1"/>
    <col min="5642" max="5642" width="10.5703125" style="31" customWidth="1"/>
    <col min="5643" max="5643" width="10.28515625" style="31" customWidth="1"/>
    <col min="5644" max="5644" width="10.140625" style="31" customWidth="1"/>
    <col min="5645" max="5645" width="11.7109375" style="31" customWidth="1"/>
    <col min="5646" max="5646" width="12.42578125" style="31" customWidth="1"/>
    <col min="5647" max="5647" width="11.7109375" style="31" customWidth="1"/>
    <col min="5648" max="5648" width="13.140625" style="31" customWidth="1"/>
    <col min="5649" max="5884" width="9.140625" style="31"/>
    <col min="5885" max="5885" width="3.7109375" style="31" customWidth="1"/>
    <col min="5886" max="5886" width="30.42578125" style="31" customWidth="1"/>
    <col min="5887" max="5887" width="7.140625" style="31" customWidth="1"/>
    <col min="5888" max="5888" width="10.7109375" style="31" customWidth="1"/>
    <col min="5889" max="5889" width="10.42578125" style="31" customWidth="1"/>
    <col min="5890" max="5890" width="10.5703125" style="31" customWidth="1"/>
    <col min="5891" max="5891" width="10.42578125" style="31" customWidth="1"/>
    <col min="5892" max="5894" width="10.5703125" style="31" customWidth="1"/>
    <col min="5895" max="5897" width="10.42578125" style="31" customWidth="1"/>
    <col min="5898" max="5898" width="10.5703125" style="31" customWidth="1"/>
    <col min="5899" max="5899" width="10.28515625" style="31" customWidth="1"/>
    <col min="5900" max="5900" width="10.140625" style="31" customWidth="1"/>
    <col min="5901" max="5901" width="11.7109375" style="31" customWidth="1"/>
    <col min="5902" max="5902" width="12.42578125" style="31" customWidth="1"/>
    <col min="5903" max="5903" width="11.7109375" style="31" customWidth="1"/>
    <col min="5904" max="5904" width="13.140625" style="31" customWidth="1"/>
    <col min="5905" max="6140" width="9.140625" style="31"/>
    <col min="6141" max="6141" width="3.7109375" style="31" customWidth="1"/>
    <col min="6142" max="6142" width="30.42578125" style="31" customWidth="1"/>
    <col min="6143" max="6143" width="7.140625" style="31" customWidth="1"/>
    <col min="6144" max="6144" width="10.7109375" style="31" customWidth="1"/>
    <col min="6145" max="6145" width="10.42578125" style="31" customWidth="1"/>
    <col min="6146" max="6146" width="10.5703125" style="31" customWidth="1"/>
    <col min="6147" max="6147" width="10.42578125" style="31" customWidth="1"/>
    <col min="6148" max="6150" width="10.5703125" style="31" customWidth="1"/>
    <col min="6151" max="6153" width="10.42578125" style="31" customWidth="1"/>
    <col min="6154" max="6154" width="10.5703125" style="31" customWidth="1"/>
    <col min="6155" max="6155" width="10.28515625" style="31" customWidth="1"/>
    <col min="6156" max="6156" width="10.140625" style="31" customWidth="1"/>
    <col min="6157" max="6157" width="11.7109375" style="31" customWidth="1"/>
    <col min="6158" max="6158" width="12.42578125" style="31" customWidth="1"/>
    <col min="6159" max="6159" width="11.7109375" style="31" customWidth="1"/>
    <col min="6160" max="6160" width="13.140625" style="31" customWidth="1"/>
    <col min="6161" max="6396" width="9.140625" style="31"/>
    <col min="6397" max="6397" width="3.7109375" style="31" customWidth="1"/>
    <col min="6398" max="6398" width="30.42578125" style="31" customWidth="1"/>
    <col min="6399" max="6399" width="7.140625" style="31" customWidth="1"/>
    <col min="6400" max="6400" width="10.7109375" style="31" customWidth="1"/>
    <col min="6401" max="6401" width="10.42578125" style="31" customWidth="1"/>
    <col min="6402" max="6402" width="10.5703125" style="31" customWidth="1"/>
    <col min="6403" max="6403" width="10.42578125" style="31" customWidth="1"/>
    <col min="6404" max="6406" width="10.5703125" style="31" customWidth="1"/>
    <col min="6407" max="6409" width="10.42578125" style="31" customWidth="1"/>
    <col min="6410" max="6410" width="10.5703125" style="31" customWidth="1"/>
    <col min="6411" max="6411" width="10.28515625" style="31" customWidth="1"/>
    <col min="6412" max="6412" width="10.140625" style="31" customWidth="1"/>
    <col min="6413" max="6413" width="11.7109375" style="31" customWidth="1"/>
    <col min="6414" max="6414" width="12.42578125" style="31" customWidth="1"/>
    <col min="6415" max="6415" width="11.7109375" style="31" customWidth="1"/>
    <col min="6416" max="6416" width="13.140625" style="31" customWidth="1"/>
    <col min="6417" max="6652" width="9.140625" style="31"/>
    <col min="6653" max="6653" width="3.7109375" style="31" customWidth="1"/>
    <col min="6654" max="6654" width="30.42578125" style="31" customWidth="1"/>
    <col min="6655" max="6655" width="7.140625" style="31" customWidth="1"/>
    <col min="6656" max="6656" width="10.7109375" style="31" customWidth="1"/>
    <col min="6657" max="6657" width="10.42578125" style="31" customWidth="1"/>
    <col min="6658" max="6658" width="10.5703125" style="31" customWidth="1"/>
    <col min="6659" max="6659" width="10.42578125" style="31" customWidth="1"/>
    <col min="6660" max="6662" width="10.5703125" style="31" customWidth="1"/>
    <col min="6663" max="6665" width="10.42578125" style="31" customWidth="1"/>
    <col min="6666" max="6666" width="10.5703125" style="31" customWidth="1"/>
    <col min="6667" max="6667" width="10.28515625" style="31" customWidth="1"/>
    <col min="6668" max="6668" width="10.140625" style="31" customWidth="1"/>
    <col min="6669" max="6669" width="11.7109375" style="31" customWidth="1"/>
    <col min="6670" max="6670" width="12.42578125" style="31" customWidth="1"/>
    <col min="6671" max="6671" width="11.7109375" style="31" customWidth="1"/>
    <col min="6672" max="6672" width="13.140625" style="31" customWidth="1"/>
    <col min="6673" max="6908" width="9.140625" style="31"/>
    <col min="6909" max="6909" width="3.7109375" style="31" customWidth="1"/>
    <col min="6910" max="6910" width="30.42578125" style="31" customWidth="1"/>
    <col min="6911" max="6911" width="7.140625" style="31" customWidth="1"/>
    <col min="6912" max="6912" width="10.7109375" style="31" customWidth="1"/>
    <col min="6913" max="6913" width="10.42578125" style="31" customWidth="1"/>
    <col min="6914" max="6914" width="10.5703125" style="31" customWidth="1"/>
    <col min="6915" max="6915" width="10.42578125" style="31" customWidth="1"/>
    <col min="6916" max="6918" width="10.5703125" style="31" customWidth="1"/>
    <col min="6919" max="6921" width="10.42578125" style="31" customWidth="1"/>
    <col min="6922" max="6922" width="10.5703125" style="31" customWidth="1"/>
    <col min="6923" max="6923" width="10.28515625" style="31" customWidth="1"/>
    <col min="6924" max="6924" width="10.140625" style="31" customWidth="1"/>
    <col min="6925" max="6925" width="11.7109375" style="31" customWidth="1"/>
    <col min="6926" max="6926" width="12.42578125" style="31" customWidth="1"/>
    <col min="6927" max="6927" width="11.7109375" style="31" customWidth="1"/>
    <col min="6928" max="6928" width="13.140625" style="31" customWidth="1"/>
    <col min="6929" max="7164" width="9.140625" style="31"/>
    <col min="7165" max="7165" width="3.7109375" style="31" customWidth="1"/>
    <col min="7166" max="7166" width="30.42578125" style="31" customWidth="1"/>
    <col min="7167" max="7167" width="7.140625" style="31" customWidth="1"/>
    <col min="7168" max="7168" width="10.7109375" style="31" customWidth="1"/>
    <col min="7169" max="7169" width="10.42578125" style="31" customWidth="1"/>
    <col min="7170" max="7170" width="10.5703125" style="31" customWidth="1"/>
    <col min="7171" max="7171" width="10.42578125" style="31" customWidth="1"/>
    <col min="7172" max="7174" width="10.5703125" style="31" customWidth="1"/>
    <col min="7175" max="7177" width="10.42578125" style="31" customWidth="1"/>
    <col min="7178" max="7178" width="10.5703125" style="31" customWidth="1"/>
    <col min="7179" max="7179" width="10.28515625" style="31" customWidth="1"/>
    <col min="7180" max="7180" width="10.140625" style="31" customWidth="1"/>
    <col min="7181" max="7181" width="11.7109375" style="31" customWidth="1"/>
    <col min="7182" max="7182" width="12.42578125" style="31" customWidth="1"/>
    <col min="7183" max="7183" width="11.7109375" style="31" customWidth="1"/>
    <col min="7184" max="7184" width="13.140625" style="31" customWidth="1"/>
    <col min="7185" max="7420" width="9.140625" style="31"/>
    <col min="7421" max="7421" width="3.7109375" style="31" customWidth="1"/>
    <col min="7422" max="7422" width="30.42578125" style="31" customWidth="1"/>
    <col min="7423" max="7423" width="7.140625" style="31" customWidth="1"/>
    <col min="7424" max="7424" width="10.7109375" style="31" customWidth="1"/>
    <col min="7425" max="7425" width="10.42578125" style="31" customWidth="1"/>
    <col min="7426" max="7426" width="10.5703125" style="31" customWidth="1"/>
    <col min="7427" max="7427" width="10.42578125" style="31" customWidth="1"/>
    <col min="7428" max="7430" width="10.5703125" style="31" customWidth="1"/>
    <col min="7431" max="7433" width="10.42578125" style="31" customWidth="1"/>
    <col min="7434" max="7434" width="10.5703125" style="31" customWidth="1"/>
    <col min="7435" max="7435" width="10.28515625" style="31" customWidth="1"/>
    <col min="7436" max="7436" width="10.140625" style="31" customWidth="1"/>
    <col min="7437" max="7437" width="11.7109375" style="31" customWidth="1"/>
    <col min="7438" max="7438" width="12.42578125" style="31" customWidth="1"/>
    <col min="7439" max="7439" width="11.7109375" style="31" customWidth="1"/>
    <col min="7440" max="7440" width="13.140625" style="31" customWidth="1"/>
    <col min="7441" max="7676" width="9.140625" style="31"/>
    <col min="7677" max="7677" width="3.7109375" style="31" customWidth="1"/>
    <col min="7678" max="7678" width="30.42578125" style="31" customWidth="1"/>
    <col min="7679" max="7679" width="7.140625" style="31" customWidth="1"/>
    <col min="7680" max="7680" width="10.7109375" style="31" customWidth="1"/>
    <col min="7681" max="7681" width="10.42578125" style="31" customWidth="1"/>
    <col min="7682" max="7682" width="10.5703125" style="31" customWidth="1"/>
    <col min="7683" max="7683" width="10.42578125" style="31" customWidth="1"/>
    <col min="7684" max="7686" width="10.5703125" style="31" customWidth="1"/>
    <col min="7687" max="7689" width="10.42578125" style="31" customWidth="1"/>
    <col min="7690" max="7690" width="10.5703125" style="31" customWidth="1"/>
    <col min="7691" max="7691" width="10.28515625" style="31" customWidth="1"/>
    <col min="7692" max="7692" width="10.140625" style="31" customWidth="1"/>
    <col min="7693" max="7693" width="11.7109375" style="31" customWidth="1"/>
    <col min="7694" max="7694" width="12.42578125" style="31" customWidth="1"/>
    <col min="7695" max="7695" width="11.7109375" style="31" customWidth="1"/>
    <col min="7696" max="7696" width="13.140625" style="31" customWidth="1"/>
    <col min="7697" max="7932" width="9.140625" style="31"/>
    <col min="7933" max="7933" width="3.7109375" style="31" customWidth="1"/>
    <col min="7934" max="7934" width="30.42578125" style="31" customWidth="1"/>
    <col min="7935" max="7935" width="7.140625" style="31" customWidth="1"/>
    <col min="7936" max="7936" width="10.7109375" style="31" customWidth="1"/>
    <col min="7937" max="7937" width="10.42578125" style="31" customWidth="1"/>
    <col min="7938" max="7938" width="10.5703125" style="31" customWidth="1"/>
    <col min="7939" max="7939" width="10.42578125" style="31" customWidth="1"/>
    <col min="7940" max="7942" width="10.5703125" style="31" customWidth="1"/>
    <col min="7943" max="7945" width="10.42578125" style="31" customWidth="1"/>
    <col min="7946" max="7946" width="10.5703125" style="31" customWidth="1"/>
    <col min="7947" max="7947" width="10.28515625" style="31" customWidth="1"/>
    <col min="7948" max="7948" width="10.140625" style="31" customWidth="1"/>
    <col min="7949" max="7949" width="11.7109375" style="31" customWidth="1"/>
    <col min="7950" max="7950" width="12.42578125" style="31" customWidth="1"/>
    <col min="7951" max="7951" width="11.7109375" style="31" customWidth="1"/>
    <col min="7952" max="7952" width="13.140625" style="31" customWidth="1"/>
    <col min="7953" max="8188" width="9.140625" style="31"/>
    <col min="8189" max="8189" width="3.7109375" style="31" customWidth="1"/>
    <col min="8190" max="8190" width="30.42578125" style="31" customWidth="1"/>
    <col min="8191" max="8191" width="7.140625" style="31" customWidth="1"/>
    <col min="8192" max="8192" width="10.7109375" style="31" customWidth="1"/>
    <col min="8193" max="8193" width="10.42578125" style="31" customWidth="1"/>
    <col min="8194" max="8194" width="10.5703125" style="31" customWidth="1"/>
    <col min="8195" max="8195" width="10.42578125" style="31" customWidth="1"/>
    <col min="8196" max="8198" width="10.5703125" style="31" customWidth="1"/>
    <col min="8199" max="8201" width="10.42578125" style="31" customWidth="1"/>
    <col min="8202" max="8202" width="10.5703125" style="31" customWidth="1"/>
    <col min="8203" max="8203" width="10.28515625" style="31" customWidth="1"/>
    <col min="8204" max="8204" width="10.140625" style="31" customWidth="1"/>
    <col min="8205" max="8205" width="11.7109375" style="31" customWidth="1"/>
    <col min="8206" max="8206" width="12.42578125" style="31" customWidth="1"/>
    <col min="8207" max="8207" width="11.7109375" style="31" customWidth="1"/>
    <col min="8208" max="8208" width="13.140625" style="31" customWidth="1"/>
    <col min="8209" max="8444" width="9.140625" style="31"/>
    <col min="8445" max="8445" width="3.7109375" style="31" customWidth="1"/>
    <col min="8446" max="8446" width="30.42578125" style="31" customWidth="1"/>
    <col min="8447" max="8447" width="7.140625" style="31" customWidth="1"/>
    <col min="8448" max="8448" width="10.7109375" style="31" customWidth="1"/>
    <col min="8449" max="8449" width="10.42578125" style="31" customWidth="1"/>
    <col min="8450" max="8450" width="10.5703125" style="31" customWidth="1"/>
    <col min="8451" max="8451" width="10.42578125" style="31" customWidth="1"/>
    <col min="8452" max="8454" width="10.5703125" style="31" customWidth="1"/>
    <col min="8455" max="8457" width="10.42578125" style="31" customWidth="1"/>
    <col min="8458" max="8458" width="10.5703125" style="31" customWidth="1"/>
    <col min="8459" max="8459" width="10.28515625" style="31" customWidth="1"/>
    <col min="8460" max="8460" width="10.140625" style="31" customWidth="1"/>
    <col min="8461" max="8461" width="11.7109375" style="31" customWidth="1"/>
    <col min="8462" max="8462" width="12.42578125" style="31" customWidth="1"/>
    <col min="8463" max="8463" width="11.7109375" style="31" customWidth="1"/>
    <col min="8464" max="8464" width="13.140625" style="31" customWidth="1"/>
    <col min="8465" max="8700" width="9.140625" style="31"/>
    <col min="8701" max="8701" width="3.7109375" style="31" customWidth="1"/>
    <col min="8702" max="8702" width="30.42578125" style="31" customWidth="1"/>
    <col min="8703" max="8703" width="7.140625" style="31" customWidth="1"/>
    <col min="8704" max="8704" width="10.7109375" style="31" customWidth="1"/>
    <col min="8705" max="8705" width="10.42578125" style="31" customWidth="1"/>
    <col min="8706" max="8706" width="10.5703125" style="31" customWidth="1"/>
    <col min="8707" max="8707" width="10.42578125" style="31" customWidth="1"/>
    <col min="8708" max="8710" width="10.5703125" style="31" customWidth="1"/>
    <col min="8711" max="8713" width="10.42578125" style="31" customWidth="1"/>
    <col min="8714" max="8714" width="10.5703125" style="31" customWidth="1"/>
    <col min="8715" max="8715" width="10.28515625" style="31" customWidth="1"/>
    <col min="8716" max="8716" width="10.140625" style="31" customWidth="1"/>
    <col min="8717" max="8717" width="11.7109375" style="31" customWidth="1"/>
    <col min="8718" max="8718" width="12.42578125" style="31" customWidth="1"/>
    <col min="8719" max="8719" width="11.7109375" style="31" customWidth="1"/>
    <col min="8720" max="8720" width="13.140625" style="31" customWidth="1"/>
    <col min="8721" max="8956" width="9.140625" style="31"/>
    <col min="8957" max="8957" width="3.7109375" style="31" customWidth="1"/>
    <col min="8958" max="8958" width="30.42578125" style="31" customWidth="1"/>
    <col min="8959" max="8959" width="7.140625" style="31" customWidth="1"/>
    <col min="8960" max="8960" width="10.7109375" style="31" customWidth="1"/>
    <col min="8961" max="8961" width="10.42578125" style="31" customWidth="1"/>
    <col min="8962" max="8962" width="10.5703125" style="31" customWidth="1"/>
    <col min="8963" max="8963" width="10.42578125" style="31" customWidth="1"/>
    <col min="8964" max="8966" width="10.5703125" style="31" customWidth="1"/>
    <col min="8967" max="8969" width="10.42578125" style="31" customWidth="1"/>
    <col min="8970" max="8970" width="10.5703125" style="31" customWidth="1"/>
    <col min="8971" max="8971" width="10.28515625" style="31" customWidth="1"/>
    <col min="8972" max="8972" width="10.140625" style="31" customWidth="1"/>
    <col min="8973" max="8973" width="11.7109375" style="31" customWidth="1"/>
    <col min="8974" max="8974" width="12.42578125" style="31" customWidth="1"/>
    <col min="8975" max="8975" width="11.7109375" style="31" customWidth="1"/>
    <col min="8976" max="8976" width="13.140625" style="31" customWidth="1"/>
    <col min="8977" max="9212" width="9.140625" style="31"/>
    <col min="9213" max="9213" width="3.7109375" style="31" customWidth="1"/>
    <col min="9214" max="9214" width="30.42578125" style="31" customWidth="1"/>
    <col min="9215" max="9215" width="7.140625" style="31" customWidth="1"/>
    <col min="9216" max="9216" width="10.7109375" style="31" customWidth="1"/>
    <col min="9217" max="9217" width="10.42578125" style="31" customWidth="1"/>
    <col min="9218" max="9218" width="10.5703125" style="31" customWidth="1"/>
    <col min="9219" max="9219" width="10.42578125" style="31" customWidth="1"/>
    <col min="9220" max="9222" width="10.5703125" style="31" customWidth="1"/>
    <col min="9223" max="9225" width="10.42578125" style="31" customWidth="1"/>
    <col min="9226" max="9226" width="10.5703125" style="31" customWidth="1"/>
    <col min="9227" max="9227" width="10.28515625" style="31" customWidth="1"/>
    <col min="9228" max="9228" width="10.140625" style="31" customWidth="1"/>
    <col min="9229" max="9229" width="11.7109375" style="31" customWidth="1"/>
    <col min="9230" max="9230" width="12.42578125" style="31" customWidth="1"/>
    <col min="9231" max="9231" width="11.7109375" style="31" customWidth="1"/>
    <col min="9232" max="9232" width="13.140625" style="31" customWidth="1"/>
    <col min="9233" max="9468" width="9.140625" style="31"/>
    <col min="9469" max="9469" width="3.7109375" style="31" customWidth="1"/>
    <col min="9470" max="9470" width="30.42578125" style="31" customWidth="1"/>
    <col min="9471" max="9471" width="7.140625" style="31" customWidth="1"/>
    <col min="9472" max="9472" width="10.7109375" style="31" customWidth="1"/>
    <col min="9473" max="9473" width="10.42578125" style="31" customWidth="1"/>
    <col min="9474" max="9474" width="10.5703125" style="31" customWidth="1"/>
    <col min="9475" max="9475" width="10.42578125" style="31" customWidth="1"/>
    <col min="9476" max="9478" width="10.5703125" style="31" customWidth="1"/>
    <col min="9479" max="9481" width="10.42578125" style="31" customWidth="1"/>
    <col min="9482" max="9482" width="10.5703125" style="31" customWidth="1"/>
    <col min="9483" max="9483" width="10.28515625" style="31" customWidth="1"/>
    <col min="9484" max="9484" width="10.140625" style="31" customWidth="1"/>
    <col min="9485" max="9485" width="11.7109375" style="31" customWidth="1"/>
    <col min="9486" max="9486" width="12.42578125" style="31" customWidth="1"/>
    <col min="9487" max="9487" width="11.7109375" style="31" customWidth="1"/>
    <col min="9488" max="9488" width="13.140625" style="31" customWidth="1"/>
    <col min="9489" max="9724" width="9.140625" style="31"/>
    <col min="9725" max="9725" width="3.7109375" style="31" customWidth="1"/>
    <col min="9726" max="9726" width="30.42578125" style="31" customWidth="1"/>
    <col min="9727" max="9727" width="7.140625" style="31" customWidth="1"/>
    <col min="9728" max="9728" width="10.7109375" style="31" customWidth="1"/>
    <col min="9729" max="9729" width="10.42578125" style="31" customWidth="1"/>
    <col min="9730" max="9730" width="10.5703125" style="31" customWidth="1"/>
    <col min="9731" max="9731" width="10.42578125" style="31" customWidth="1"/>
    <col min="9732" max="9734" width="10.5703125" style="31" customWidth="1"/>
    <col min="9735" max="9737" width="10.42578125" style="31" customWidth="1"/>
    <col min="9738" max="9738" width="10.5703125" style="31" customWidth="1"/>
    <col min="9739" max="9739" width="10.28515625" style="31" customWidth="1"/>
    <col min="9740" max="9740" width="10.140625" style="31" customWidth="1"/>
    <col min="9741" max="9741" width="11.7109375" style="31" customWidth="1"/>
    <col min="9742" max="9742" width="12.42578125" style="31" customWidth="1"/>
    <col min="9743" max="9743" width="11.7109375" style="31" customWidth="1"/>
    <col min="9744" max="9744" width="13.140625" style="31" customWidth="1"/>
    <col min="9745" max="9980" width="9.140625" style="31"/>
    <col min="9981" max="9981" width="3.7109375" style="31" customWidth="1"/>
    <col min="9982" max="9982" width="30.42578125" style="31" customWidth="1"/>
    <col min="9983" max="9983" width="7.140625" style="31" customWidth="1"/>
    <col min="9984" max="9984" width="10.7109375" style="31" customWidth="1"/>
    <col min="9985" max="9985" width="10.42578125" style="31" customWidth="1"/>
    <col min="9986" max="9986" width="10.5703125" style="31" customWidth="1"/>
    <col min="9987" max="9987" width="10.42578125" style="31" customWidth="1"/>
    <col min="9988" max="9990" width="10.5703125" style="31" customWidth="1"/>
    <col min="9991" max="9993" width="10.42578125" style="31" customWidth="1"/>
    <col min="9994" max="9994" width="10.5703125" style="31" customWidth="1"/>
    <col min="9995" max="9995" width="10.28515625" style="31" customWidth="1"/>
    <col min="9996" max="9996" width="10.140625" style="31" customWidth="1"/>
    <col min="9997" max="9997" width="11.7109375" style="31" customWidth="1"/>
    <col min="9998" max="9998" width="12.42578125" style="31" customWidth="1"/>
    <col min="9999" max="9999" width="11.7109375" style="31" customWidth="1"/>
    <col min="10000" max="10000" width="13.140625" style="31" customWidth="1"/>
    <col min="10001" max="10236" width="9.140625" style="31"/>
    <col min="10237" max="10237" width="3.7109375" style="31" customWidth="1"/>
    <col min="10238" max="10238" width="30.42578125" style="31" customWidth="1"/>
    <col min="10239" max="10239" width="7.140625" style="31" customWidth="1"/>
    <col min="10240" max="10240" width="10.7109375" style="31" customWidth="1"/>
    <col min="10241" max="10241" width="10.42578125" style="31" customWidth="1"/>
    <col min="10242" max="10242" width="10.5703125" style="31" customWidth="1"/>
    <col min="10243" max="10243" width="10.42578125" style="31" customWidth="1"/>
    <col min="10244" max="10246" width="10.5703125" style="31" customWidth="1"/>
    <col min="10247" max="10249" width="10.42578125" style="31" customWidth="1"/>
    <col min="10250" max="10250" width="10.5703125" style="31" customWidth="1"/>
    <col min="10251" max="10251" width="10.28515625" style="31" customWidth="1"/>
    <col min="10252" max="10252" width="10.140625" style="31" customWidth="1"/>
    <col min="10253" max="10253" width="11.7109375" style="31" customWidth="1"/>
    <col min="10254" max="10254" width="12.42578125" style="31" customWidth="1"/>
    <col min="10255" max="10255" width="11.7109375" style="31" customWidth="1"/>
    <col min="10256" max="10256" width="13.140625" style="31" customWidth="1"/>
    <col min="10257" max="10492" width="9.140625" style="31"/>
    <col min="10493" max="10493" width="3.7109375" style="31" customWidth="1"/>
    <col min="10494" max="10494" width="30.42578125" style="31" customWidth="1"/>
    <col min="10495" max="10495" width="7.140625" style="31" customWidth="1"/>
    <col min="10496" max="10496" width="10.7109375" style="31" customWidth="1"/>
    <col min="10497" max="10497" width="10.42578125" style="31" customWidth="1"/>
    <col min="10498" max="10498" width="10.5703125" style="31" customWidth="1"/>
    <col min="10499" max="10499" width="10.42578125" style="31" customWidth="1"/>
    <col min="10500" max="10502" width="10.5703125" style="31" customWidth="1"/>
    <col min="10503" max="10505" width="10.42578125" style="31" customWidth="1"/>
    <col min="10506" max="10506" width="10.5703125" style="31" customWidth="1"/>
    <col min="10507" max="10507" width="10.28515625" style="31" customWidth="1"/>
    <col min="10508" max="10508" width="10.140625" style="31" customWidth="1"/>
    <col min="10509" max="10509" width="11.7109375" style="31" customWidth="1"/>
    <col min="10510" max="10510" width="12.42578125" style="31" customWidth="1"/>
    <col min="10511" max="10511" width="11.7109375" style="31" customWidth="1"/>
    <col min="10512" max="10512" width="13.140625" style="31" customWidth="1"/>
    <col min="10513" max="10748" width="9.140625" style="31"/>
    <col min="10749" max="10749" width="3.7109375" style="31" customWidth="1"/>
    <col min="10750" max="10750" width="30.42578125" style="31" customWidth="1"/>
    <col min="10751" max="10751" width="7.140625" style="31" customWidth="1"/>
    <col min="10752" max="10752" width="10.7109375" style="31" customWidth="1"/>
    <col min="10753" max="10753" width="10.42578125" style="31" customWidth="1"/>
    <col min="10754" max="10754" width="10.5703125" style="31" customWidth="1"/>
    <col min="10755" max="10755" width="10.42578125" style="31" customWidth="1"/>
    <col min="10756" max="10758" width="10.5703125" style="31" customWidth="1"/>
    <col min="10759" max="10761" width="10.42578125" style="31" customWidth="1"/>
    <col min="10762" max="10762" width="10.5703125" style="31" customWidth="1"/>
    <col min="10763" max="10763" width="10.28515625" style="31" customWidth="1"/>
    <col min="10764" max="10764" width="10.140625" style="31" customWidth="1"/>
    <col min="10765" max="10765" width="11.7109375" style="31" customWidth="1"/>
    <col min="10766" max="10766" width="12.42578125" style="31" customWidth="1"/>
    <col min="10767" max="10767" width="11.7109375" style="31" customWidth="1"/>
    <col min="10768" max="10768" width="13.140625" style="31" customWidth="1"/>
    <col min="10769" max="11004" width="9.140625" style="31"/>
    <col min="11005" max="11005" width="3.7109375" style="31" customWidth="1"/>
    <col min="11006" max="11006" width="30.42578125" style="31" customWidth="1"/>
    <col min="11007" max="11007" width="7.140625" style="31" customWidth="1"/>
    <col min="11008" max="11008" width="10.7109375" style="31" customWidth="1"/>
    <col min="11009" max="11009" width="10.42578125" style="31" customWidth="1"/>
    <col min="11010" max="11010" width="10.5703125" style="31" customWidth="1"/>
    <col min="11011" max="11011" width="10.42578125" style="31" customWidth="1"/>
    <col min="11012" max="11014" width="10.5703125" style="31" customWidth="1"/>
    <col min="11015" max="11017" width="10.42578125" style="31" customWidth="1"/>
    <col min="11018" max="11018" width="10.5703125" style="31" customWidth="1"/>
    <col min="11019" max="11019" width="10.28515625" style="31" customWidth="1"/>
    <col min="11020" max="11020" width="10.140625" style="31" customWidth="1"/>
    <col min="11021" max="11021" width="11.7109375" style="31" customWidth="1"/>
    <col min="11022" max="11022" width="12.42578125" style="31" customWidth="1"/>
    <col min="11023" max="11023" width="11.7109375" style="31" customWidth="1"/>
    <col min="11024" max="11024" width="13.140625" style="31" customWidth="1"/>
    <col min="11025" max="11260" width="9.140625" style="31"/>
    <col min="11261" max="11261" width="3.7109375" style="31" customWidth="1"/>
    <col min="11262" max="11262" width="30.42578125" style="31" customWidth="1"/>
    <col min="11263" max="11263" width="7.140625" style="31" customWidth="1"/>
    <col min="11264" max="11264" width="10.7109375" style="31" customWidth="1"/>
    <col min="11265" max="11265" width="10.42578125" style="31" customWidth="1"/>
    <col min="11266" max="11266" width="10.5703125" style="31" customWidth="1"/>
    <col min="11267" max="11267" width="10.42578125" style="31" customWidth="1"/>
    <col min="11268" max="11270" width="10.5703125" style="31" customWidth="1"/>
    <col min="11271" max="11273" width="10.42578125" style="31" customWidth="1"/>
    <col min="11274" max="11274" width="10.5703125" style="31" customWidth="1"/>
    <col min="11275" max="11275" width="10.28515625" style="31" customWidth="1"/>
    <col min="11276" max="11276" width="10.140625" style="31" customWidth="1"/>
    <col min="11277" max="11277" width="11.7109375" style="31" customWidth="1"/>
    <col min="11278" max="11278" width="12.42578125" style="31" customWidth="1"/>
    <col min="11279" max="11279" width="11.7109375" style="31" customWidth="1"/>
    <col min="11280" max="11280" width="13.140625" style="31" customWidth="1"/>
    <col min="11281" max="11516" width="9.140625" style="31"/>
    <col min="11517" max="11517" width="3.7109375" style="31" customWidth="1"/>
    <col min="11518" max="11518" width="30.42578125" style="31" customWidth="1"/>
    <col min="11519" max="11519" width="7.140625" style="31" customWidth="1"/>
    <col min="11520" max="11520" width="10.7109375" style="31" customWidth="1"/>
    <col min="11521" max="11521" width="10.42578125" style="31" customWidth="1"/>
    <col min="11522" max="11522" width="10.5703125" style="31" customWidth="1"/>
    <col min="11523" max="11523" width="10.42578125" style="31" customWidth="1"/>
    <col min="11524" max="11526" width="10.5703125" style="31" customWidth="1"/>
    <col min="11527" max="11529" width="10.42578125" style="31" customWidth="1"/>
    <col min="11530" max="11530" width="10.5703125" style="31" customWidth="1"/>
    <col min="11531" max="11531" width="10.28515625" style="31" customWidth="1"/>
    <col min="11532" max="11532" width="10.140625" style="31" customWidth="1"/>
    <col min="11533" max="11533" width="11.7109375" style="31" customWidth="1"/>
    <col min="11534" max="11534" width="12.42578125" style="31" customWidth="1"/>
    <col min="11535" max="11535" width="11.7109375" style="31" customWidth="1"/>
    <col min="11536" max="11536" width="13.140625" style="31" customWidth="1"/>
    <col min="11537" max="11772" width="9.140625" style="31"/>
    <col min="11773" max="11773" width="3.7109375" style="31" customWidth="1"/>
    <col min="11774" max="11774" width="30.42578125" style="31" customWidth="1"/>
    <col min="11775" max="11775" width="7.140625" style="31" customWidth="1"/>
    <col min="11776" max="11776" width="10.7109375" style="31" customWidth="1"/>
    <col min="11777" max="11777" width="10.42578125" style="31" customWidth="1"/>
    <col min="11778" max="11778" width="10.5703125" style="31" customWidth="1"/>
    <col min="11779" max="11779" width="10.42578125" style="31" customWidth="1"/>
    <col min="11780" max="11782" width="10.5703125" style="31" customWidth="1"/>
    <col min="11783" max="11785" width="10.42578125" style="31" customWidth="1"/>
    <col min="11786" max="11786" width="10.5703125" style="31" customWidth="1"/>
    <col min="11787" max="11787" width="10.28515625" style="31" customWidth="1"/>
    <col min="11788" max="11788" width="10.140625" style="31" customWidth="1"/>
    <col min="11789" max="11789" width="11.7109375" style="31" customWidth="1"/>
    <col min="11790" max="11790" width="12.42578125" style="31" customWidth="1"/>
    <col min="11791" max="11791" width="11.7109375" style="31" customWidth="1"/>
    <col min="11792" max="11792" width="13.140625" style="31" customWidth="1"/>
    <col min="11793" max="12028" width="9.140625" style="31"/>
    <col min="12029" max="12029" width="3.7109375" style="31" customWidth="1"/>
    <col min="12030" max="12030" width="30.42578125" style="31" customWidth="1"/>
    <col min="12031" max="12031" width="7.140625" style="31" customWidth="1"/>
    <col min="12032" max="12032" width="10.7109375" style="31" customWidth="1"/>
    <col min="12033" max="12033" width="10.42578125" style="31" customWidth="1"/>
    <col min="12034" max="12034" width="10.5703125" style="31" customWidth="1"/>
    <col min="12035" max="12035" width="10.42578125" style="31" customWidth="1"/>
    <col min="12036" max="12038" width="10.5703125" style="31" customWidth="1"/>
    <col min="12039" max="12041" width="10.42578125" style="31" customWidth="1"/>
    <col min="12042" max="12042" width="10.5703125" style="31" customWidth="1"/>
    <col min="12043" max="12043" width="10.28515625" style="31" customWidth="1"/>
    <col min="12044" max="12044" width="10.140625" style="31" customWidth="1"/>
    <col min="12045" max="12045" width="11.7109375" style="31" customWidth="1"/>
    <col min="12046" max="12046" width="12.42578125" style="31" customWidth="1"/>
    <col min="12047" max="12047" width="11.7109375" style="31" customWidth="1"/>
    <col min="12048" max="12048" width="13.140625" style="31" customWidth="1"/>
    <col min="12049" max="12284" width="9.140625" style="31"/>
    <col min="12285" max="12285" width="3.7109375" style="31" customWidth="1"/>
    <col min="12286" max="12286" width="30.42578125" style="31" customWidth="1"/>
    <col min="12287" max="12287" width="7.140625" style="31" customWidth="1"/>
    <col min="12288" max="12288" width="10.7109375" style="31" customWidth="1"/>
    <col min="12289" max="12289" width="10.42578125" style="31" customWidth="1"/>
    <col min="12290" max="12290" width="10.5703125" style="31" customWidth="1"/>
    <col min="12291" max="12291" width="10.42578125" style="31" customWidth="1"/>
    <col min="12292" max="12294" width="10.5703125" style="31" customWidth="1"/>
    <col min="12295" max="12297" width="10.42578125" style="31" customWidth="1"/>
    <col min="12298" max="12298" width="10.5703125" style="31" customWidth="1"/>
    <col min="12299" max="12299" width="10.28515625" style="31" customWidth="1"/>
    <col min="12300" max="12300" width="10.140625" style="31" customWidth="1"/>
    <col min="12301" max="12301" width="11.7109375" style="31" customWidth="1"/>
    <col min="12302" max="12302" width="12.42578125" style="31" customWidth="1"/>
    <col min="12303" max="12303" width="11.7109375" style="31" customWidth="1"/>
    <col min="12304" max="12304" width="13.140625" style="31" customWidth="1"/>
    <col min="12305" max="12540" width="9.140625" style="31"/>
    <col min="12541" max="12541" width="3.7109375" style="31" customWidth="1"/>
    <col min="12542" max="12542" width="30.42578125" style="31" customWidth="1"/>
    <col min="12543" max="12543" width="7.140625" style="31" customWidth="1"/>
    <col min="12544" max="12544" width="10.7109375" style="31" customWidth="1"/>
    <col min="12545" max="12545" width="10.42578125" style="31" customWidth="1"/>
    <col min="12546" max="12546" width="10.5703125" style="31" customWidth="1"/>
    <col min="12547" max="12547" width="10.42578125" style="31" customWidth="1"/>
    <col min="12548" max="12550" width="10.5703125" style="31" customWidth="1"/>
    <col min="12551" max="12553" width="10.42578125" style="31" customWidth="1"/>
    <col min="12554" max="12554" width="10.5703125" style="31" customWidth="1"/>
    <col min="12555" max="12555" width="10.28515625" style="31" customWidth="1"/>
    <col min="12556" max="12556" width="10.140625" style="31" customWidth="1"/>
    <col min="12557" max="12557" width="11.7109375" style="31" customWidth="1"/>
    <col min="12558" max="12558" width="12.42578125" style="31" customWidth="1"/>
    <col min="12559" max="12559" width="11.7109375" style="31" customWidth="1"/>
    <col min="12560" max="12560" width="13.140625" style="31" customWidth="1"/>
    <col min="12561" max="12796" width="9.140625" style="31"/>
    <col min="12797" max="12797" width="3.7109375" style="31" customWidth="1"/>
    <col min="12798" max="12798" width="30.42578125" style="31" customWidth="1"/>
    <col min="12799" max="12799" width="7.140625" style="31" customWidth="1"/>
    <col min="12800" max="12800" width="10.7109375" style="31" customWidth="1"/>
    <col min="12801" max="12801" width="10.42578125" style="31" customWidth="1"/>
    <col min="12802" max="12802" width="10.5703125" style="31" customWidth="1"/>
    <col min="12803" max="12803" width="10.42578125" style="31" customWidth="1"/>
    <col min="12804" max="12806" width="10.5703125" style="31" customWidth="1"/>
    <col min="12807" max="12809" width="10.42578125" style="31" customWidth="1"/>
    <col min="12810" max="12810" width="10.5703125" style="31" customWidth="1"/>
    <col min="12811" max="12811" width="10.28515625" style="31" customWidth="1"/>
    <col min="12812" max="12812" width="10.140625" style="31" customWidth="1"/>
    <col min="12813" max="12813" width="11.7109375" style="31" customWidth="1"/>
    <col min="12814" max="12814" width="12.42578125" style="31" customWidth="1"/>
    <col min="12815" max="12815" width="11.7109375" style="31" customWidth="1"/>
    <col min="12816" max="12816" width="13.140625" style="31" customWidth="1"/>
    <col min="12817" max="13052" width="9.140625" style="31"/>
    <col min="13053" max="13053" width="3.7109375" style="31" customWidth="1"/>
    <col min="13054" max="13054" width="30.42578125" style="31" customWidth="1"/>
    <col min="13055" max="13055" width="7.140625" style="31" customWidth="1"/>
    <col min="13056" max="13056" width="10.7109375" style="31" customWidth="1"/>
    <col min="13057" max="13057" width="10.42578125" style="31" customWidth="1"/>
    <col min="13058" max="13058" width="10.5703125" style="31" customWidth="1"/>
    <col min="13059" max="13059" width="10.42578125" style="31" customWidth="1"/>
    <col min="13060" max="13062" width="10.5703125" style="31" customWidth="1"/>
    <col min="13063" max="13065" width="10.42578125" style="31" customWidth="1"/>
    <col min="13066" max="13066" width="10.5703125" style="31" customWidth="1"/>
    <col min="13067" max="13067" width="10.28515625" style="31" customWidth="1"/>
    <col min="13068" max="13068" width="10.140625" style="31" customWidth="1"/>
    <col min="13069" max="13069" width="11.7109375" style="31" customWidth="1"/>
    <col min="13070" max="13070" width="12.42578125" style="31" customWidth="1"/>
    <col min="13071" max="13071" width="11.7109375" style="31" customWidth="1"/>
    <col min="13072" max="13072" width="13.140625" style="31" customWidth="1"/>
    <col min="13073" max="13308" width="9.140625" style="31"/>
    <col min="13309" max="13309" width="3.7109375" style="31" customWidth="1"/>
    <col min="13310" max="13310" width="30.42578125" style="31" customWidth="1"/>
    <col min="13311" max="13311" width="7.140625" style="31" customWidth="1"/>
    <col min="13312" max="13312" width="10.7109375" style="31" customWidth="1"/>
    <col min="13313" max="13313" width="10.42578125" style="31" customWidth="1"/>
    <col min="13314" max="13314" width="10.5703125" style="31" customWidth="1"/>
    <col min="13315" max="13315" width="10.42578125" style="31" customWidth="1"/>
    <col min="13316" max="13318" width="10.5703125" style="31" customWidth="1"/>
    <col min="13319" max="13321" width="10.42578125" style="31" customWidth="1"/>
    <col min="13322" max="13322" width="10.5703125" style="31" customWidth="1"/>
    <col min="13323" max="13323" width="10.28515625" style="31" customWidth="1"/>
    <col min="13324" max="13324" width="10.140625" style="31" customWidth="1"/>
    <col min="13325" max="13325" width="11.7109375" style="31" customWidth="1"/>
    <col min="13326" max="13326" width="12.42578125" style="31" customWidth="1"/>
    <col min="13327" max="13327" width="11.7109375" style="31" customWidth="1"/>
    <col min="13328" max="13328" width="13.140625" style="31" customWidth="1"/>
    <col min="13329" max="13564" width="9.140625" style="31"/>
    <col min="13565" max="13565" width="3.7109375" style="31" customWidth="1"/>
    <col min="13566" max="13566" width="30.42578125" style="31" customWidth="1"/>
    <col min="13567" max="13567" width="7.140625" style="31" customWidth="1"/>
    <col min="13568" max="13568" width="10.7109375" style="31" customWidth="1"/>
    <col min="13569" max="13569" width="10.42578125" style="31" customWidth="1"/>
    <col min="13570" max="13570" width="10.5703125" style="31" customWidth="1"/>
    <col min="13571" max="13571" width="10.42578125" style="31" customWidth="1"/>
    <col min="13572" max="13574" width="10.5703125" style="31" customWidth="1"/>
    <col min="13575" max="13577" width="10.42578125" style="31" customWidth="1"/>
    <col min="13578" max="13578" width="10.5703125" style="31" customWidth="1"/>
    <col min="13579" max="13579" width="10.28515625" style="31" customWidth="1"/>
    <col min="13580" max="13580" width="10.140625" style="31" customWidth="1"/>
    <col min="13581" max="13581" width="11.7109375" style="31" customWidth="1"/>
    <col min="13582" max="13582" width="12.42578125" style="31" customWidth="1"/>
    <col min="13583" max="13583" width="11.7109375" style="31" customWidth="1"/>
    <col min="13584" max="13584" width="13.140625" style="31" customWidth="1"/>
    <col min="13585" max="13820" width="9.140625" style="31"/>
    <col min="13821" max="13821" width="3.7109375" style="31" customWidth="1"/>
    <col min="13822" max="13822" width="30.42578125" style="31" customWidth="1"/>
    <col min="13823" max="13823" width="7.140625" style="31" customWidth="1"/>
    <col min="13824" max="13824" width="10.7109375" style="31" customWidth="1"/>
    <col min="13825" max="13825" width="10.42578125" style="31" customWidth="1"/>
    <col min="13826" max="13826" width="10.5703125" style="31" customWidth="1"/>
    <col min="13827" max="13827" width="10.42578125" style="31" customWidth="1"/>
    <col min="13828" max="13830" width="10.5703125" style="31" customWidth="1"/>
    <col min="13831" max="13833" width="10.42578125" style="31" customWidth="1"/>
    <col min="13834" max="13834" width="10.5703125" style="31" customWidth="1"/>
    <col min="13835" max="13835" width="10.28515625" style="31" customWidth="1"/>
    <col min="13836" max="13836" width="10.140625" style="31" customWidth="1"/>
    <col min="13837" max="13837" width="11.7109375" style="31" customWidth="1"/>
    <col min="13838" max="13838" width="12.42578125" style="31" customWidth="1"/>
    <col min="13839" max="13839" width="11.7109375" style="31" customWidth="1"/>
    <col min="13840" max="13840" width="13.140625" style="31" customWidth="1"/>
    <col min="13841" max="14076" width="9.140625" style="31"/>
    <col min="14077" max="14077" width="3.7109375" style="31" customWidth="1"/>
    <col min="14078" max="14078" width="30.42578125" style="31" customWidth="1"/>
    <col min="14079" max="14079" width="7.140625" style="31" customWidth="1"/>
    <col min="14080" max="14080" width="10.7109375" style="31" customWidth="1"/>
    <col min="14081" max="14081" width="10.42578125" style="31" customWidth="1"/>
    <col min="14082" max="14082" width="10.5703125" style="31" customWidth="1"/>
    <col min="14083" max="14083" width="10.42578125" style="31" customWidth="1"/>
    <col min="14084" max="14086" width="10.5703125" style="31" customWidth="1"/>
    <col min="14087" max="14089" width="10.42578125" style="31" customWidth="1"/>
    <col min="14090" max="14090" width="10.5703125" style="31" customWidth="1"/>
    <col min="14091" max="14091" width="10.28515625" style="31" customWidth="1"/>
    <col min="14092" max="14092" width="10.140625" style="31" customWidth="1"/>
    <col min="14093" max="14093" width="11.7109375" style="31" customWidth="1"/>
    <col min="14094" max="14094" width="12.42578125" style="31" customWidth="1"/>
    <col min="14095" max="14095" width="11.7109375" style="31" customWidth="1"/>
    <col min="14096" max="14096" width="13.140625" style="31" customWidth="1"/>
    <col min="14097" max="14332" width="9.140625" style="31"/>
    <col min="14333" max="14333" width="3.7109375" style="31" customWidth="1"/>
    <col min="14334" max="14334" width="30.42578125" style="31" customWidth="1"/>
    <col min="14335" max="14335" width="7.140625" style="31" customWidth="1"/>
    <col min="14336" max="14336" width="10.7109375" style="31" customWidth="1"/>
    <col min="14337" max="14337" width="10.42578125" style="31" customWidth="1"/>
    <col min="14338" max="14338" width="10.5703125" style="31" customWidth="1"/>
    <col min="14339" max="14339" width="10.42578125" style="31" customWidth="1"/>
    <col min="14340" max="14342" width="10.5703125" style="31" customWidth="1"/>
    <col min="14343" max="14345" width="10.42578125" style="31" customWidth="1"/>
    <col min="14346" max="14346" width="10.5703125" style="31" customWidth="1"/>
    <col min="14347" max="14347" width="10.28515625" style="31" customWidth="1"/>
    <col min="14348" max="14348" width="10.140625" style="31" customWidth="1"/>
    <col min="14349" max="14349" width="11.7109375" style="31" customWidth="1"/>
    <col min="14350" max="14350" width="12.42578125" style="31" customWidth="1"/>
    <col min="14351" max="14351" width="11.7109375" style="31" customWidth="1"/>
    <col min="14352" max="14352" width="13.140625" style="31" customWidth="1"/>
    <col min="14353" max="14588" width="9.140625" style="31"/>
    <col min="14589" max="14589" width="3.7109375" style="31" customWidth="1"/>
    <col min="14590" max="14590" width="30.42578125" style="31" customWidth="1"/>
    <col min="14591" max="14591" width="7.140625" style="31" customWidth="1"/>
    <col min="14592" max="14592" width="10.7109375" style="31" customWidth="1"/>
    <col min="14593" max="14593" width="10.42578125" style="31" customWidth="1"/>
    <col min="14594" max="14594" width="10.5703125" style="31" customWidth="1"/>
    <col min="14595" max="14595" width="10.42578125" style="31" customWidth="1"/>
    <col min="14596" max="14598" width="10.5703125" style="31" customWidth="1"/>
    <col min="14599" max="14601" width="10.42578125" style="31" customWidth="1"/>
    <col min="14602" max="14602" width="10.5703125" style="31" customWidth="1"/>
    <col min="14603" max="14603" width="10.28515625" style="31" customWidth="1"/>
    <col min="14604" max="14604" width="10.140625" style="31" customWidth="1"/>
    <col min="14605" max="14605" width="11.7109375" style="31" customWidth="1"/>
    <col min="14606" max="14606" width="12.42578125" style="31" customWidth="1"/>
    <col min="14607" max="14607" width="11.7109375" style="31" customWidth="1"/>
    <col min="14608" max="14608" width="13.140625" style="31" customWidth="1"/>
    <col min="14609" max="14844" width="9.140625" style="31"/>
    <col min="14845" max="14845" width="3.7109375" style="31" customWidth="1"/>
    <col min="14846" max="14846" width="30.42578125" style="31" customWidth="1"/>
    <col min="14847" max="14847" width="7.140625" style="31" customWidth="1"/>
    <col min="14848" max="14848" width="10.7109375" style="31" customWidth="1"/>
    <col min="14849" max="14849" width="10.42578125" style="31" customWidth="1"/>
    <col min="14850" max="14850" width="10.5703125" style="31" customWidth="1"/>
    <col min="14851" max="14851" width="10.42578125" style="31" customWidth="1"/>
    <col min="14852" max="14854" width="10.5703125" style="31" customWidth="1"/>
    <col min="14855" max="14857" width="10.42578125" style="31" customWidth="1"/>
    <col min="14858" max="14858" width="10.5703125" style="31" customWidth="1"/>
    <col min="14859" max="14859" width="10.28515625" style="31" customWidth="1"/>
    <col min="14860" max="14860" width="10.140625" style="31" customWidth="1"/>
    <col min="14861" max="14861" width="11.7109375" style="31" customWidth="1"/>
    <col min="14862" max="14862" width="12.42578125" style="31" customWidth="1"/>
    <col min="14863" max="14863" width="11.7109375" style="31" customWidth="1"/>
    <col min="14864" max="14864" width="13.140625" style="31" customWidth="1"/>
    <col min="14865" max="15100" width="9.140625" style="31"/>
    <col min="15101" max="15101" width="3.7109375" style="31" customWidth="1"/>
    <col min="15102" max="15102" width="30.42578125" style="31" customWidth="1"/>
    <col min="15103" max="15103" width="7.140625" style="31" customWidth="1"/>
    <col min="15104" max="15104" width="10.7109375" style="31" customWidth="1"/>
    <col min="15105" max="15105" width="10.42578125" style="31" customWidth="1"/>
    <col min="15106" max="15106" width="10.5703125" style="31" customWidth="1"/>
    <col min="15107" max="15107" width="10.42578125" style="31" customWidth="1"/>
    <col min="15108" max="15110" width="10.5703125" style="31" customWidth="1"/>
    <col min="15111" max="15113" width="10.42578125" style="31" customWidth="1"/>
    <col min="15114" max="15114" width="10.5703125" style="31" customWidth="1"/>
    <col min="15115" max="15115" width="10.28515625" style="31" customWidth="1"/>
    <col min="15116" max="15116" width="10.140625" style="31" customWidth="1"/>
    <col min="15117" max="15117" width="11.7109375" style="31" customWidth="1"/>
    <col min="15118" max="15118" width="12.42578125" style="31" customWidth="1"/>
    <col min="15119" max="15119" width="11.7109375" style="31" customWidth="1"/>
    <col min="15120" max="15120" width="13.140625" style="31" customWidth="1"/>
    <col min="15121" max="15356" width="9.140625" style="31"/>
    <col min="15357" max="15357" width="3.7109375" style="31" customWidth="1"/>
    <col min="15358" max="15358" width="30.42578125" style="31" customWidth="1"/>
    <col min="15359" max="15359" width="7.140625" style="31" customWidth="1"/>
    <col min="15360" max="15360" width="10.7109375" style="31" customWidth="1"/>
    <col min="15361" max="15361" width="10.42578125" style="31" customWidth="1"/>
    <col min="15362" max="15362" width="10.5703125" style="31" customWidth="1"/>
    <col min="15363" max="15363" width="10.42578125" style="31" customWidth="1"/>
    <col min="15364" max="15366" width="10.5703125" style="31" customWidth="1"/>
    <col min="15367" max="15369" width="10.42578125" style="31" customWidth="1"/>
    <col min="15370" max="15370" width="10.5703125" style="31" customWidth="1"/>
    <col min="15371" max="15371" width="10.28515625" style="31" customWidth="1"/>
    <col min="15372" max="15372" width="10.140625" style="31" customWidth="1"/>
    <col min="15373" max="15373" width="11.7109375" style="31" customWidth="1"/>
    <col min="15374" max="15374" width="12.42578125" style="31" customWidth="1"/>
    <col min="15375" max="15375" width="11.7109375" style="31" customWidth="1"/>
    <col min="15376" max="15376" width="13.140625" style="31" customWidth="1"/>
    <col min="15377" max="15612" width="9.140625" style="31"/>
    <col min="15613" max="15613" width="3.7109375" style="31" customWidth="1"/>
    <col min="15614" max="15614" width="30.42578125" style="31" customWidth="1"/>
    <col min="15615" max="15615" width="7.140625" style="31" customWidth="1"/>
    <col min="15616" max="15616" width="10.7109375" style="31" customWidth="1"/>
    <col min="15617" max="15617" width="10.42578125" style="31" customWidth="1"/>
    <col min="15618" max="15618" width="10.5703125" style="31" customWidth="1"/>
    <col min="15619" max="15619" width="10.42578125" style="31" customWidth="1"/>
    <col min="15620" max="15622" width="10.5703125" style="31" customWidth="1"/>
    <col min="15623" max="15625" width="10.42578125" style="31" customWidth="1"/>
    <col min="15626" max="15626" width="10.5703125" style="31" customWidth="1"/>
    <col min="15627" max="15627" width="10.28515625" style="31" customWidth="1"/>
    <col min="15628" max="15628" width="10.140625" style="31" customWidth="1"/>
    <col min="15629" max="15629" width="11.7109375" style="31" customWidth="1"/>
    <col min="15630" max="15630" width="12.42578125" style="31" customWidth="1"/>
    <col min="15631" max="15631" width="11.7109375" style="31" customWidth="1"/>
    <col min="15632" max="15632" width="13.140625" style="31" customWidth="1"/>
    <col min="15633" max="15868" width="9.140625" style="31"/>
    <col min="15869" max="15869" width="3.7109375" style="31" customWidth="1"/>
    <col min="15870" max="15870" width="30.42578125" style="31" customWidth="1"/>
    <col min="15871" max="15871" width="7.140625" style="31" customWidth="1"/>
    <col min="15872" max="15872" width="10.7109375" style="31" customWidth="1"/>
    <col min="15873" max="15873" width="10.42578125" style="31" customWidth="1"/>
    <col min="15874" max="15874" width="10.5703125" style="31" customWidth="1"/>
    <col min="15875" max="15875" width="10.42578125" style="31" customWidth="1"/>
    <col min="15876" max="15878" width="10.5703125" style="31" customWidth="1"/>
    <col min="15879" max="15881" width="10.42578125" style="31" customWidth="1"/>
    <col min="15882" max="15882" width="10.5703125" style="31" customWidth="1"/>
    <col min="15883" max="15883" width="10.28515625" style="31" customWidth="1"/>
    <col min="15884" max="15884" width="10.140625" style="31" customWidth="1"/>
    <col min="15885" max="15885" width="11.7109375" style="31" customWidth="1"/>
    <col min="15886" max="15886" width="12.42578125" style="31" customWidth="1"/>
    <col min="15887" max="15887" width="11.7109375" style="31" customWidth="1"/>
    <col min="15888" max="15888" width="13.140625" style="31" customWidth="1"/>
    <col min="15889" max="16124" width="9.140625" style="31"/>
    <col min="16125" max="16125" width="3.7109375" style="31" customWidth="1"/>
    <col min="16126" max="16126" width="30.42578125" style="31" customWidth="1"/>
    <col min="16127" max="16127" width="7.140625" style="31" customWidth="1"/>
    <col min="16128" max="16128" width="10.7109375" style="31" customWidth="1"/>
    <col min="16129" max="16129" width="10.42578125" style="31" customWidth="1"/>
    <col min="16130" max="16130" width="10.5703125" style="31" customWidth="1"/>
    <col min="16131" max="16131" width="10.42578125" style="31" customWidth="1"/>
    <col min="16132" max="16134" width="10.5703125" style="31" customWidth="1"/>
    <col min="16135" max="16137" width="10.42578125" style="31" customWidth="1"/>
    <col min="16138" max="16138" width="10.5703125" style="31" customWidth="1"/>
    <col min="16139" max="16139" width="10.28515625" style="31" customWidth="1"/>
    <col min="16140" max="16140" width="10.140625" style="31" customWidth="1"/>
    <col min="16141" max="16141" width="11.7109375" style="31" customWidth="1"/>
    <col min="16142" max="16142" width="12.42578125" style="31" customWidth="1"/>
    <col min="16143" max="16143" width="11.7109375" style="31" customWidth="1"/>
    <col min="16144" max="16144" width="13.140625" style="31" customWidth="1"/>
    <col min="16145" max="16384" width="9.140625" style="31"/>
  </cols>
  <sheetData>
    <row r="1" spans="1:19" s="1" customFormat="1" ht="27" customHeight="1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21.75" customHeight="1">
      <c r="A2" s="663" t="s">
        <v>168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8" customHeight="1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204" t="s">
        <v>10</v>
      </c>
      <c r="L4" s="204" t="s">
        <v>11</v>
      </c>
      <c r="M4" s="204" t="s">
        <v>12</v>
      </c>
      <c r="N4" s="204" t="s">
        <v>13</v>
      </c>
      <c r="O4" s="205" t="s">
        <v>14</v>
      </c>
      <c r="P4" s="204" t="s">
        <v>15</v>
      </c>
      <c r="Q4" s="6" t="s">
        <v>170</v>
      </c>
      <c r="R4" s="6" t="s">
        <v>171</v>
      </c>
      <c r="S4" s="8" t="s">
        <v>172</v>
      </c>
    </row>
    <row r="5" spans="1:19" s="15" customFormat="1" ht="28.5" customHeight="1">
      <c r="A5" s="206" t="s">
        <v>16</v>
      </c>
      <c r="B5" s="207" t="s">
        <v>169</v>
      </c>
      <c r="C5" s="208">
        <v>31</v>
      </c>
      <c r="D5" s="209">
        <v>134</v>
      </c>
      <c r="E5" s="209">
        <v>159</v>
      </c>
      <c r="F5" s="209">
        <v>169</v>
      </c>
      <c r="G5" s="209">
        <v>124</v>
      </c>
      <c r="H5" s="209">
        <v>126</v>
      </c>
      <c r="I5" s="209">
        <v>76</v>
      </c>
      <c r="J5" s="209">
        <v>103</v>
      </c>
      <c r="K5" s="209">
        <v>94</v>
      </c>
      <c r="L5" s="209">
        <v>53</v>
      </c>
      <c r="M5" s="209">
        <v>131</v>
      </c>
      <c r="N5" s="209">
        <v>67</v>
      </c>
      <c r="O5" s="209">
        <v>64</v>
      </c>
      <c r="P5" s="209">
        <v>62</v>
      </c>
      <c r="Q5" s="13">
        <f>SUM(D5:P5)</f>
        <v>1362</v>
      </c>
      <c r="R5" s="13">
        <v>1364</v>
      </c>
      <c r="S5" s="58">
        <v>1443</v>
      </c>
    </row>
    <row r="6" spans="1:19" s="21" customFormat="1" ht="20.100000000000001" customHeight="1">
      <c r="A6" s="210"/>
      <c r="B6" s="211" t="s">
        <v>17</v>
      </c>
      <c r="C6" s="212"/>
      <c r="D6" s="209">
        <v>40</v>
      </c>
      <c r="E6" s="209">
        <v>91</v>
      </c>
      <c r="F6" s="209">
        <v>33</v>
      </c>
      <c r="G6" s="209">
        <v>103</v>
      </c>
      <c r="H6" s="209">
        <v>27</v>
      </c>
      <c r="I6" s="209">
        <v>23</v>
      </c>
      <c r="J6" s="209">
        <v>35</v>
      </c>
      <c r="K6" s="209">
        <v>113</v>
      </c>
      <c r="L6" s="209">
        <v>58</v>
      </c>
      <c r="M6" s="209">
        <v>25</v>
      </c>
      <c r="N6" s="209">
        <v>36</v>
      </c>
      <c r="O6" s="209">
        <v>15</v>
      </c>
      <c r="P6" s="209">
        <v>0</v>
      </c>
      <c r="Q6" s="19">
        <f>SUM(D6:P6)</f>
        <v>599</v>
      </c>
      <c r="R6" s="19">
        <v>599</v>
      </c>
      <c r="S6" s="96">
        <v>653</v>
      </c>
    </row>
    <row r="7" spans="1:19" s="27" customFormat="1" ht="20.100000000000001" customHeight="1">
      <c r="A7" s="213"/>
      <c r="B7" s="214" t="s">
        <v>18</v>
      </c>
      <c r="C7" s="215"/>
      <c r="D7" s="216">
        <f>SUM(D5:D6)</f>
        <v>174</v>
      </c>
      <c r="E7" s="216">
        <f t="shared" ref="E7:P7" si="0">SUM(E5:E6)</f>
        <v>250</v>
      </c>
      <c r="F7" s="216">
        <f t="shared" si="0"/>
        <v>202</v>
      </c>
      <c r="G7" s="216">
        <f t="shared" si="0"/>
        <v>227</v>
      </c>
      <c r="H7" s="216">
        <f t="shared" si="0"/>
        <v>153</v>
      </c>
      <c r="I7" s="216">
        <f t="shared" si="0"/>
        <v>99</v>
      </c>
      <c r="J7" s="216">
        <f t="shared" si="0"/>
        <v>138</v>
      </c>
      <c r="K7" s="216">
        <f t="shared" si="0"/>
        <v>207</v>
      </c>
      <c r="L7" s="216">
        <f t="shared" si="0"/>
        <v>111</v>
      </c>
      <c r="M7" s="216">
        <f t="shared" si="0"/>
        <v>156</v>
      </c>
      <c r="N7" s="216">
        <f t="shared" si="0"/>
        <v>103</v>
      </c>
      <c r="O7" s="216">
        <f t="shared" si="0"/>
        <v>79</v>
      </c>
      <c r="P7" s="216">
        <f t="shared" si="0"/>
        <v>62</v>
      </c>
      <c r="Q7" s="25">
        <f>SUM(D7:P7)</f>
        <v>1961</v>
      </c>
      <c r="R7" s="25">
        <v>1963</v>
      </c>
      <c r="S7" s="26">
        <v>2096</v>
      </c>
    </row>
    <row r="8" spans="1:19" ht="24.75" customHeight="1">
      <c r="A8" s="217" t="s">
        <v>19</v>
      </c>
      <c r="B8" s="207" t="s">
        <v>20</v>
      </c>
      <c r="C8" s="218"/>
      <c r="D8" s="209">
        <v>134</v>
      </c>
      <c r="E8" s="209">
        <v>158</v>
      </c>
      <c r="F8" s="209">
        <v>169</v>
      </c>
      <c r="G8" s="209">
        <v>124</v>
      </c>
      <c r="H8" s="209">
        <v>126</v>
      </c>
      <c r="I8" s="209">
        <v>76</v>
      </c>
      <c r="J8" s="209">
        <v>105</v>
      </c>
      <c r="K8" s="209">
        <v>92</v>
      </c>
      <c r="L8" s="209">
        <v>53</v>
      </c>
      <c r="M8" s="209">
        <v>132</v>
      </c>
      <c r="N8" s="209">
        <v>67</v>
      </c>
      <c r="O8" s="209">
        <v>64</v>
      </c>
      <c r="P8" s="209">
        <v>63</v>
      </c>
      <c r="Q8" s="30">
        <f>SUM(D8:P8)</f>
        <v>1363</v>
      </c>
      <c r="R8" s="30">
        <v>1364</v>
      </c>
      <c r="S8" s="171">
        <v>1443</v>
      </c>
    </row>
    <row r="9" spans="1:19" ht="20.100000000000001" customHeight="1">
      <c r="A9" s="210"/>
      <c r="B9" s="211" t="s">
        <v>21</v>
      </c>
      <c r="C9" s="212"/>
      <c r="D9" s="209">
        <f>D6</f>
        <v>40</v>
      </c>
      <c r="E9" s="209">
        <f t="shared" ref="E9:P9" si="1">E6</f>
        <v>91</v>
      </c>
      <c r="F9" s="209">
        <f t="shared" si="1"/>
        <v>33</v>
      </c>
      <c r="G9" s="209">
        <f t="shared" si="1"/>
        <v>103</v>
      </c>
      <c r="H9" s="209">
        <f t="shared" si="1"/>
        <v>27</v>
      </c>
      <c r="I9" s="209">
        <f t="shared" si="1"/>
        <v>23</v>
      </c>
      <c r="J9" s="209">
        <f t="shared" si="1"/>
        <v>35</v>
      </c>
      <c r="K9" s="209">
        <f t="shared" si="1"/>
        <v>113</v>
      </c>
      <c r="L9" s="209">
        <f t="shared" si="1"/>
        <v>58</v>
      </c>
      <c r="M9" s="209">
        <f t="shared" si="1"/>
        <v>25</v>
      </c>
      <c r="N9" s="209">
        <f t="shared" si="1"/>
        <v>36</v>
      </c>
      <c r="O9" s="209">
        <f t="shared" si="1"/>
        <v>15</v>
      </c>
      <c r="P9" s="209">
        <f t="shared" si="1"/>
        <v>0</v>
      </c>
      <c r="Q9" s="13">
        <f>SUM(D9:P9)</f>
        <v>599</v>
      </c>
      <c r="R9" s="13">
        <v>599</v>
      </c>
      <c r="S9" s="58">
        <v>653</v>
      </c>
    </row>
    <row r="10" spans="1:19" s="33" customFormat="1" ht="20.100000000000001" customHeight="1">
      <c r="A10" s="213"/>
      <c r="B10" s="214" t="s">
        <v>22</v>
      </c>
      <c r="C10" s="215"/>
      <c r="D10" s="219">
        <f>SUM(D8:D9)</f>
        <v>174</v>
      </c>
      <c r="E10" s="219">
        <f t="shared" ref="E10:P10" si="2">SUM(E8:E9)</f>
        <v>249</v>
      </c>
      <c r="F10" s="219">
        <f t="shared" si="2"/>
        <v>202</v>
      </c>
      <c r="G10" s="219">
        <f t="shared" si="2"/>
        <v>227</v>
      </c>
      <c r="H10" s="219">
        <f t="shared" si="2"/>
        <v>153</v>
      </c>
      <c r="I10" s="219">
        <f t="shared" si="2"/>
        <v>99</v>
      </c>
      <c r="J10" s="219">
        <f t="shared" si="2"/>
        <v>140</v>
      </c>
      <c r="K10" s="219">
        <f t="shared" si="2"/>
        <v>205</v>
      </c>
      <c r="L10" s="219">
        <f t="shared" si="2"/>
        <v>111</v>
      </c>
      <c r="M10" s="219">
        <f t="shared" si="2"/>
        <v>157</v>
      </c>
      <c r="N10" s="219">
        <f t="shared" si="2"/>
        <v>103</v>
      </c>
      <c r="O10" s="219">
        <f t="shared" si="2"/>
        <v>79</v>
      </c>
      <c r="P10" s="219">
        <f t="shared" si="2"/>
        <v>63</v>
      </c>
      <c r="Q10" s="32">
        <f>SUM(Q8:Q9)</f>
        <v>1962</v>
      </c>
      <c r="R10" s="32">
        <v>1963</v>
      </c>
      <c r="S10" s="48">
        <v>2096</v>
      </c>
    </row>
    <row r="11" spans="1:19" s="15" customFormat="1" ht="28.5" customHeight="1">
      <c r="A11" s="206" t="s">
        <v>23</v>
      </c>
      <c r="B11" s="207" t="s">
        <v>24</v>
      </c>
      <c r="C11" s="220"/>
      <c r="D11" s="209">
        <v>102</v>
      </c>
      <c r="E11" s="209">
        <v>107</v>
      </c>
      <c r="F11" s="209">
        <v>101</v>
      </c>
      <c r="G11" s="209">
        <v>96</v>
      </c>
      <c r="H11" s="209">
        <v>92</v>
      </c>
      <c r="I11" s="209">
        <v>53</v>
      </c>
      <c r="J11" s="209">
        <v>83</v>
      </c>
      <c r="K11" s="209">
        <v>64</v>
      </c>
      <c r="L11" s="209">
        <v>43</v>
      </c>
      <c r="M11" s="209">
        <v>79</v>
      </c>
      <c r="N11" s="209">
        <v>44</v>
      </c>
      <c r="O11" s="209">
        <v>43</v>
      </c>
      <c r="P11" s="209">
        <v>39</v>
      </c>
      <c r="Q11" s="36">
        <f>SUM(D11:P11)</f>
        <v>946</v>
      </c>
      <c r="R11" s="36">
        <v>939</v>
      </c>
      <c r="S11" s="49">
        <v>950</v>
      </c>
    </row>
    <row r="12" spans="1:19" s="21" customFormat="1" ht="20.100000000000001" customHeight="1">
      <c r="A12" s="210"/>
      <c r="B12" s="211" t="s">
        <v>25</v>
      </c>
      <c r="C12" s="212"/>
      <c r="D12" s="209">
        <v>1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3</v>
      </c>
      <c r="K12" s="209">
        <v>2</v>
      </c>
      <c r="L12" s="209">
        <v>0</v>
      </c>
      <c r="M12" s="209">
        <v>0</v>
      </c>
      <c r="N12" s="209">
        <v>2</v>
      </c>
      <c r="O12" s="209">
        <v>1</v>
      </c>
      <c r="P12" s="209">
        <v>0</v>
      </c>
      <c r="Q12" s="37">
        <f>SUM(D12:P12)</f>
        <v>9</v>
      </c>
      <c r="R12" s="37">
        <v>30</v>
      </c>
      <c r="S12" s="38">
        <v>24</v>
      </c>
    </row>
    <row r="13" spans="1:19" s="21" customFormat="1" ht="22.5" customHeight="1">
      <c r="A13" s="210"/>
      <c r="B13" s="221" t="s">
        <v>26</v>
      </c>
      <c r="C13" s="212"/>
      <c r="D13" s="222">
        <f>D11+D12</f>
        <v>103</v>
      </c>
      <c r="E13" s="222">
        <f t="shared" ref="E13:Q13" si="3">E11+E12</f>
        <v>107</v>
      </c>
      <c r="F13" s="222">
        <f t="shared" si="3"/>
        <v>101</v>
      </c>
      <c r="G13" s="222">
        <f t="shared" si="3"/>
        <v>96</v>
      </c>
      <c r="H13" s="222">
        <f t="shared" si="3"/>
        <v>92</v>
      </c>
      <c r="I13" s="222">
        <f t="shared" si="3"/>
        <v>53</v>
      </c>
      <c r="J13" s="222">
        <f t="shared" si="3"/>
        <v>86</v>
      </c>
      <c r="K13" s="222">
        <f t="shared" si="3"/>
        <v>66</v>
      </c>
      <c r="L13" s="222">
        <f t="shared" si="3"/>
        <v>43</v>
      </c>
      <c r="M13" s="222">
        <f t="shared" si="3"/>
        <v>79</v>
      </c>
      <c r="N13" s="222">
        <f t="shared" si="3"/>
        <v>46</v>
      </c>
      <c r="O13" s="222">
        <f t="shared" si="3"/>
        <v>44</v>
      </c>
      <c r="P13" s="222">
        <f t="shared" si="3"/>
        <v>39</v>
      </c>
      <c r="Q13" s="37">
        <f t="shared" si="3"/>
        <v>955</v>
      </c>
      <c r="R13" s="37">
        <v>969</v>
      </c>
      <c r="S13" s="38">
        <v>974</v>
      </c>
    </row>
    <row r="14" spans="1:19" s="21" customFormat="1" ht="20.100000000000001" customHeight="1">
      <c r="A14" s="223"/>
      <c r="B14" s="224" t="s">
        <v>27</v>
      </c>
      <c r="C14" s="225"/>
      <c r="D14" s="226">
        <f t="shared" ref="D14:Q14" si="4">D12/D8*100</f>
        <v>0.74626865671641784</v>
      </c>
      <c r="E14" s="227">
        <f t="shared" si="4"/>
        <v>0</v>
      </c>
      <c r="F14" s="227">
        <f t="shared" si="4"/>
        <v>0</v>
      </c>
      <c r="G14" s="227">
        <f t="shared" si="4"/>
        <v>0</v>
      </c>
      <c r="H14" s="227">
        <f t="shared" si="4"/>
        <v>0</v>
      </c>
      <c r="I14" s="227">
        <f t="shared" si="4"/>
        <v>0</v>
      </c>
      <c r="J14" s="226">
        <f t="shared" si="4"/>
        <v>2.8571428571428572</v>
      </c>
      <c r="K14" s="226">
        <f t="shared" si="4"/>
        <v>2.1739130434782608</v>
      </c>
      <c r="L14" s="227">
        <f t="shared" si="4"/>
        <v>0</v>
      </c>
      <c r="M14" s="227">
        <f t="shared" si="4"/>
        <v>0</v>
      </c>
      <c r="N14" s="226">
        <f t="shared" si="4"/>
        <v>2.9850746268656714</v>
      </c>
      <c r="O14" s="226">
        <f t="shared" si="4"/>
        <v>1.5625</v>
      </c>
      <c r="P14" s="227">
        <f t="shared" si="4"/>
        <v>0</v>
      </c>
      <c r="Q14" s="42">
        <f t="shared" si="4"/>
        <v>0.66030814380044023</v>
      </c>
      <c r="R14" s="42">
        <v>2.1994134897360706</v>
      </c>
      <c r="S14" s="43">
        <v>1.66</v>
      </c>
    </row>
    <row r="15" spans="1:19" s="21" customFormat="1" ht="22.5" customHeight="1">
      <c r="A15" s="217" t="s">
        <v>28</v>
      </c>
      <c r="B15" s="221" t="s">
        <v>29</v>
      </c>
      <c r="C15" s="218"/>
      <c r="D15" s="209">
        <f>D11</f>
        <v>102</v>
      </c>
      <c r="E15" s="209">
        <f t="shared" ref="E15:P15" si="5">E11</f>
        <v>107</v>
      </c>
      <c r="F15" s="209">
        <f t="shared" si="5"/>
        <v>101</v>
      </c>
      <c r="G15" s="209">
        <f t="shared" si="5"/>
        <v>96</v>
      </c>
      <c r="H15" s="209">
        <f t="shared" si="5"/>
        <v>92</v>
      </c>
      <c r="I15" s="209">
        <f t="shared" si="5"/>
        <v>53</v>
      </c>
      <c r="J15" s="209">
        <f t="shared" si="5"/>
        <v>83</v>
      </c>
      <c r="K15" s="209">
        <f t="shared" si="5"/>
        <v>64</v>
      </c>
      <c r="L15" s="228">
        <f t="shared" si="5"/>
        <v>43</v>
      </c>
      <c r="M15" s="209">
        <f t="shared" si="5"/>
        <v>79</v>
      </c>
      <c r="N15" s="209">
        <f t="shared" si="5"/>
        <v>44</v>
      </c>
      <c r="O15" s="209">
        <f t="shared" si="5"/>
        <v>43</v>
      </c>
      <c r="P15" s="209">
        <f t="shared" si="5"/>
        <v>39</v>
      </c>
      <c r="Q15" s="45">
        <f>SUM(D15:P15)</f>
        <v>946</v>
      </c>
      <c r="R15" s="45">
        <v>939</v>
      </c>
      <c r="S15" s="46">
        <v>950</v>
      </c>
    </row>
    <row r="16" spans="1:19" s="21" customFormat="1" ht="20.100000000000001" customHeight="1">
      <c r="A16" s="210"/>
      <c r="B16" s="211" t="s">
        <v>21</v>
      </c>
      <c r="C16" s="212"/>
      <c r="D16" s="209">
        <v>23</v>
      </c>
      <c r="E16" s="209">
        <v>58</v>
      </c>
      <c r="F16" s="209">
        <v>16</v>
      </c>
      <c r="G16" s="209">
        <v>74</v>
      </c>
      <c r="H16" s="209">
        <v>19</v>
      </c>
      <c r="I16" s="209">
        <v>13</v>
      </c>
      <c r="J16" s="209">
        <v>22</v>
      </c>
      <c r="K16" s="209">
        <v>81</v>
      </c>
      <c r="L16" s="209">
        <v>51</v>
      </c>
      <c r="M16" s="209">
        <v>16</v>
      </c>
      <c r="N16" s="209">
        <v>31</v>
      </c>
      <c r="O16" s="209">
        <v>13</v>
      </c>
      <c r="P16" s="209">
        <v>0</v>
      </c>
      <c r="Q16" s="37">
        <f>SUM(D16:P16)</f>
        <v>417</v>
      </c>
      <c r="R16" s="37">
        <v>428</v>
      </c>
      <c r="S16" s="38">
        <v>449</v>
      </c>
    </row>
    <row r="17" spans="1:20" s="27" customFormat="1" ht="20.100000000000001" customHeight="1">
      <c r="A17" s="213"/>
      <c r="B17" s="229" t="s">
        <v>30</v>
      </c>
      <c r="C17" s="215"/>
      <c r="D17" s="219">
        <f>SUM(D15:D16)</f>
        <v>125</v>
      </c>
      <c r="E17" s="219">
        <f t="shared" ref="E17:Q17" si="6">SUM(E15:E16)</f>
        <v>165</v>
      </c>
      <c r="F17" s="219">
        <f t="shared" si="6"/>
        <v>117</v>
      </c>
      <c r="G17" s="219">
        <f t="shared" si="6"/>
        <v>170</v>
      </c>
      <c r="H17" s="219">
        <f t="shared" si="6"/>
        <v>111</v>
      </c>
      <c r="I17" s="219">
        <f t="shared" si="6"/>
        <v>66</v>
      </c>
      <c r="J17" s="219">
        <f t="shared" si="6"/>
        <v>105</v>
      </c>
      <c r="K17" s="219">
        <f t="shared" si="6"/>
        <v>145</v>
      </c>
      <c r="L17" s="219">
        <f t="shared" si="6"/>
        <v>94</v>
      </c>
      <c r="M17" s="219">
        <f t="shared" si="6"/>
        <v>95</v>
      </c>
      <c r="N17" s="219">
        <f t="shared" si="6"/>
        <v>75</v>
      </c>
      <c r="O17" s="219">
        <f t="shared" si="6"/>
        <v>56</v>
      </c>
      <c r="P17" s="219">
        <f t="shared" si="6"/>
        <v>39</v>
      </c>
      <c r="Q17" s="32">
        <f t="shared" si="6"/>
        <v>1363</v>
      </c>
      <c r="R17" s="32">
        <v>1367</v>
      </c>
      <c r="S17" s="48">
        <v>1399</v>
      </c>
    </row>
    <row r="18" spans="1:20" s="15" customFormat="1" ht="25.5">
      <c r="A18" s="206">
        <v>3</v>
      </c>
      <c r="B18" s="207" t="s">
        <v>31</v>
      </c>
      <c r="C18" s="220"/>
      <c r="D18" s="230">
        <f>D8-D11</f>
        <v>32</v>
      </c>
      <c r="E18" s="230">
        <f t="shared" ref="E18:Q18" si="7">E8-E11</f>
        <v>51</v>
      </c>
      <c r="F18" s="230">
        <f t="shared" si="7"/>
        <v>68</v>
      </c>
      <c r="G18" s="230">
        <f t="shared" si="7"/>
        <v>28</v>
      </c>
      <c r="H18" s="230">
        <f t="shared" si="7"/>
        <v>34</v>
      </c>
      <c r="I18" s="230">
        <f t="shared" si="7"/>
        <v>23</v>
      </c>
      <c r="J18" s="230">
        <f t="shared" si="7"/>
        <v>22</v>
      </c>
      <c r="K18" s="230">
        <f t="shared" si="7"/>
        <v>28</v>
      </c>
      <c r="L18" s="230">
        <f t="shared" si="7"/>
        <v>10</v>
      </c>
      <c r="M18" s="230">
        <f t="shared" si="7"/>
        <v>53</v>
      </c>
      <c r="N18" s="230">
        <f t="shared" si="7"/>
        <v>23</v>
      </c>
      <c r="O18" s="230">
        <f t="shared" si="7"/>
        <v>21</v>
      </c>
      <c r="P18" s="230">
        <f t="shared" si="7"/>
        <v>24</v>
      </c>
      <c r="Q18" s="19">
        <f t="shared" si="7"/>
        <v>417</v>
      </c>
      <c r="R18" s="19">
        <v>425</v>
      </c>
      <c r="S18" s="96">
        <v>493</v>
      </c>
    </row>
    <row r="19" spans="1:20" s="21" customFormat="1" ht="20.100000000000001" customHeight="1">
      <c r="A19" s="210"/>
      <c r="B19" s="211" t="s">
        <v>21</v>
      </c>
      <c r="C19" s="212"/>
      <c r="D19" s="230">
        <f>D6-D16</f>
        <v>17</v>
      </c>
      <c r="E19" s="230">
        <f t="shared" ref="E19:Q19" si="8">E6-E16</f>
        <v>33</v>
      </c>
      <c r="F19" s="230">
        <f t="shared" si="8"/>
        <v>17</v>
      </c>
      <c r="G19" s="230">
        <f t="shared" si="8"/>
        <v>29</v>
      </c>
      <c r="H19" s="230">
        <f t="shared" si="8"/>
        <v>8</v>
      </c>
      <c r="I19" s="230">
        <f t="shared" si="8"/>
        <v>10</v>
      </c>
      <c r="J19" s="230">
        <f t="shared" si="8"/>
        <v>13</v>
      </c>
      <c r="K19" s="230">
        <f t="shared" si="8"/>
        <v>32</v>
      </c>
      <c r="L19" s="230">
        <f t="shared" si="8"/>
        <v>7</v>
      </c>
      <c r="M19" s="230">
        <f t="shared" si="8"/>
        <v>9</v>
      </c>
      <c r="N19" s="230">
        <f t="shared" si="8"/>
        <v>5</v>
      </c>
      <c r="O19" s="230">
        <f t="shared" si="8"/>
        <v>2</v>
      </c>
      <c r="P19" s="230">
        <f t="shared" si="8"/>
        <v>0</v>
      </c>
      <c r="Q19" s="19">
        <f t="shared" si="8"/>
        <v>182</v>
      </c>
      <c r="R19" s="19">
        <v>171</v>
      </c>
      <c r="S19" s="96">
        <v>204</v>
      </c>
    </row>
    <row r="20" spans="1:20" s="21" customFormat="1" ht="20.100000000000001" customHeight="1">
      <c r="A20" s="210"/>
      <c r="B20" s="231" t="s">
        <v>32</v>
      </c>
      <c r="C20" s="212"/>
      <c r="D20" s="222">
        <f t="shared" ref="D20:P20" si="9">SUM(D18:D19)</f>
        <v>49</v>
      </c>
      <c r="E20" s="222">
        <f t="shared" si="9"/>
        <v>84</v>
      </c>
      <c r="F20" s="222">
        <f t="shared" si="9"/>
        <v>85</v>
      </c>
      <c r="G20" s="222">
        <f t="shared" si="9"/>
        <v>57</v>
      </c>
      <c r="H20" s="222">
        <f t="shared" si="9"/>
        <v>42</v>
      </c>
      <c r="I20" s="222">
        <f>SUM(I18:I19)</f>
        <v>33</v>
      </c>
      <c r="J20" s="222">
        <f>SUM(J18:J19)</f>
        <v>35</v>
      </c>
      <c r="K20" s="222">
        <f t="shared" si="9"/>
        <v>60</v>
      </c>
      <c r="L20" s="222">
        <f t="shared" si="9"/>
        <v>17</v>
      </c>
      <c r="M20" s="222">
        <f>SUM(M18:M19)</f>
        <v>62</v>
      </c>
      <c r="N20" s="222">
        <f t="shared" si="9"/>
        <v>28</v>
      </c>
      <c r="O20" s="222">
        <f t="shared" si="9"/>
        <v>23</v>
      </c>
      <c r="P20" s="222">
        <f t="shared" si="9"/>
        <v>24</v>
      </c>
      <c r="Q20" s="37">
        <f>SUM(D20:P20)</f>
        <v>599</v>
      </c>
      <c r="R20" s="37">
        <v>596</v>
      </c>
      <c r="S20" s="38">
        <v>697</v>
      </c>
    </row>
    <row r="21" spans="1:20" s="21" customFormat="1" ht="34.5" customHeight="1">
      <c r="A21" s="210"/>
      <c r="B21" s="211" t="s">
        <v>33</v>
      </c>
      <c r="C21" s="212"/>
      <c r="D21" s="209">
        <v>32</v>
      </c>
      <c r="E21" s="209">
        <v>51</v>
      </c>
      <c r="F21" s="209">
        <v>67</v>
      </c>
      <c r="G21" s="209">
        <v>28</v>
      </c>
      <c r="H21" s="209">
        <v>33</v>
      </c>
      <c r="I21" s="209">
        <v>23</v>
      </c>
      <c r="J21" s="209">
        <v>19</v>
      </c>
      <c r="K21" s="209">
        <v>26</v>
      </c>
      <c r="L21" s="209">
        <v>10</v>
      </c>
      <c r="M21" s="209">
        <v>54</v>
      </c>
      <c r="N21" s="209">
        <v>21</v>
      </c>
      <c r="O21" s="209">
        <v>21</v>
      </c>
      <c r="P21" s="209">
        <v>23</v>
      </c>
      <c r="Q21" s="37">
        <f>SUM(D21:P21)</f>
        <v>408</v>
      </c>
      <c r="R21" s="37">
        <v>395</v>
      </c>
      <c r="S21" s="38">
        <v>467</v>
      </c>
    </row>
    <row r="22" spans="1:20" s="15" customFormat="1" ht="24" customHeight="1">
      <c r="A22" s="232"/>
      <c r="B22" s="233" t="s">
        <v>34</v>
      </c>
      <c r="C22" s="234"/>
      <c r="D22" s="226">
        <f t="shared" ref="D22:Q22" si="10">SUM(D21/D8*100)</f>
        <v>23.880597014925371</v>
      </c>
      <c r="E22" s="226">
        <f t="shared" si="10"/>
        <v>32.278481012658226</v>
      </c>
      <c r="F22" s="226">
        <f t="shared" si="10"/>
        <v>39.644970414201183</v>
      </c>
      <c r="G22" s="226">
        <f t="shared" si="10"/>
        <v>22.58064516129032</v>
      </c>
      <c r="H22" s="226">
        <f t="shared" si="10"/>
        <v>26.190476190476193</v>
      </c>
      <c r="I22" s="226">
        <f t="shared" si="10"/>
        <v>30.263157894736842</v>
      </c>
      <c r="J22" s="226">
        <f t="shared" si="10"/>
        <v>18.095238095238095</v>
      </c>
      <c r="K22" s="226">
        <f t="shared" si="10"/>
        <v>28.260869565217391</v>
      </c>
      <c r="L22" s="226">
        <f t="shared" si="10"/>
        <v>18.867924528301888</v>
      </c>
      <c r="M22" s="226">
        <f t="shared" si="10"/>
        <v>40.909090909090914</v>
      </c>
      <c r="N22" s="226">
        <f t="shared" si="10"/>
        <v>31.343283582089555</v>
      </c>
      <c r="O22" s="226">
        <f t="shared" si="10"/>
        <v>32.8125</v>
      </c>
      <c r="P22" s="226">
        <f t="shared" si="10"/>
        <v>36.507936507936506</v>
      </c>
      <c r="Q22" s="42">
        <f t="shared" si="10"/>
        <v>29.933969185619958</v>
      </c>
      <c r="R22" s="42">
        <v>28.958944281524928</v>
      </c>
      <c r="S22" s="43">
        <v>32.36</v>
      </c>
    </row>
    <row r="23" spans="1:20" s="57" customFormat="1" ht="25.5">
      <c r="A23" s="235">
        <v>4</v>
      </c>
      <c r="B23" s="236" t="s">
        <v>35</v>
      </c>
      <c r="C23" s="237"/>
      <c r="D23" s="209">
        <v>161</v>
      </c>
      <c r="E23" s="209">
        <v>207</v>
      </c>
      <c r="F23" s="209">
        <v>164</v>
      </c>
      <c r="G23" s="209">
        <v>210</v>
      </c>
      <c r="H23" s="209">
        <v>131</v>
      </c>
      <c r="I23" s="209">
        <v>83</v>
      </c>
      <c r="J23" s="209">
        <v>126</v>
      </c>
      <c r="K23" s="209">
        <v>179</v>
      </c>
      <c r="L23" s="209">
        <v>97</v>
      </c>
      <c r="M23" s="209">
        <v>123</v>
      </c>
      <c r="N23" s="209">
        <v>84</v>
      </c>
      <c r="O23" s="209">
        <v>66</v>
      </c>
      <c r="P23" s="209">
        <v>42</v>
      </c>
      <c r="Q23" s="44">
        <f>SUM(D23:P23)</f>
        <v>1673</v>
      </c>
      <c r="R23" s="44">
        <v>1685</v>
      </c>
      <c r="S23" s="14">
        <v>1698</v>
      </c>
    </row>
    <row r="24" spans="1:20" s="15" customFormat="1" ht="42" customHeight="1">
      <c r="A24" s="206">
        <v>5</v>
      </c>
      <c r="B24" s="207" t="s">
        <v>174</v>
      </c>
      <c r="C24" s="220"/>
      <c r="D24" s="209">
        <v>101</v>
      </c>
      <c r="E24" s="209">
        <v>98</v>
      </c>
      <c r="F24" s="209">
        <v>101</v>
      </c>
      <c r="G24" s="209">
        <v>94</v>
      </c>
      <c r="H24" s="209">
        <v>90</v>
      </c>
      <c r="I24" s="209">
        <v>53</v>
      </c>
      <c r="J24" s="209">
        <v>83</v>
      </c>
      <c r="K24" s="209">
        <v>64</v>
      </c>
      <c r="L24" s="209">
        <v>43</v>
      </c>
      <c r="M24" s="209">
        <v>79</v>
      </c>
      <c r="N24" s="209">
        <v>44</v>
      </c>
      <c r="O24" s="209">
        <v>43</v>
      </c>
      <c r="P24" s="209">
        <v>39</v>
      </c>
      <c r="Q24" s="45">
        <f t="shared" ref="Q24:Q29" si="11">SUM(D24:P24)</f>
        <v>932</v>
      </c>
      <c r="R24" s="45">
        <v>921</v>
      </c>
      <c r="S24" s="46">
        <v>935</v>
      </c>
    </row>
    <row r="25" spans="1:20" s="21" customFormat="1" ht="24" customHeight="1">
      <c r="A25" s="210"/>
      <c r="B25" s="211" t="s">
        <v>37</v>
      </c>
      <c r="C25" s="212"/>
      <c r="D25" s="209">
        <v>23</v>
      </c>
      <c r="E25" s="209">
        <v>58</v>
      </c>
      <c r="F25" s="209">
        <v>16</v>
      </c>
      <c r="G25" s="209">
        <v>74</v>
      </c>
      <c r="H25" s="209">
        <v>19</v>
      </c>
      <c r="I25" s="209">
        <v>13</v>
      </c>
      <c r="J25" s="209">
        <v>22</v>
      </c>
      <c r="K25" s="209">
        <v>81</v>
      </c>
      <c r="L25" s="209">
        <v>51</v>
      </c>
      <c r="M25" s="209">
        <v>16</v>
      </c>
      <c r="N25" s="209">
        <v>31</v>
      </c>
      <c r="O25" s="209">
        <v>13</v>
      </c>
      <c r="P25" s="209">
        <v>0</v>
      </c>
      <c r="Q25" s="37">
        <f t="shared" si="11"/>
        <v>417</v>
      </c>
      <c r="R25" s="37">
        <v>427</v>
      </c>
      <c r="S25" s="38">
        <v>449</v>
      </c>
    </row>
    <row r="26" spans="1:20" s="21" customFormat="1" ht="20.100000000000001" customHeight="1">
      <c r="A26" s="223"/>
      <c r="B26" s="224" t="s">
        <v>38</v>
      </c>
      <c r="C26" s="225"/>
      <c r="D26" s="238">
        <f t="shared" ref="D26:P26" si="12">SUM(D24:D25)</f>
        <v>124</v>
      </c>
      <c r="E26" s="238">
        <f t="shared" si="12"/>
        <v>156</v>
      </c>
      <c r="F26" s="238">
        <f t="shared" si="12"/>
        <v>117</v>
      </c>
      <c r="G26" s="238">
        <f t="shared" si="12"/>
        <v>168</v>
      </c>
      <c r="H26" s="238">
        <f t="shared" si="12"/>
        <v>109</v>
      </c>
      <c r="I26" s="238">
        <f>SUM(I24:I25)</f>
        <v>66</v>
      </c>
      <c r="J26" s="238">
        <f>SUM(J24:J25)</f>
        <v>105</v>
      </c>
      <c r="K26" s="238">
        <f t="shared" si="12"/>
        <v>145</v>
      </c>
      <c r="L26" s="238">
        <f t="shared" si="12"/>
        <v>94</v>
      </c>
      <c r="M26" s="238">
        <f>SUM(M24:M25)</f>
        <v>95</v>
      </c>
      <c r="N26" s="238">
        <f t="shared" si="12"/>
        <v>75</v>
      </c>
      <c r="O26" s="238">
        <f t="shared" si="12"/>
        <v>56</v>
      </c>
      <c r="P26" s="238">
        <f t="shared" si="12"/>
        <v>39</v>
      </c>
      <c r="Q26" s="59">
        <f t="shared" si="11"/>
        <v>1349</v>
      </c>
      <c r="R26" s="59">
        <v>1348</v>
      </c>
      <c r="S26" s="60">
        <v>1384</v>
      </c>
    </row>
    <row r="27" spans="1:20" s="27" customFormat="1" ht="26.25" customHeight="1" thickBot="1">
      <c r="A27" s="239">
        <v>6</v>
      </c>
      <c r="B27" s="240" t="s">
        <v>39</v>
      </c>
      <c r="C27" s="241"/>
      <c r="D27" s="242">
        <v>1035307</v>
      </c>
      <c r="E27" s="242">
        <v>1464152</v>
      </c>
      <c r="F27" s="242">
        <v>969726</v>
      </c>
      <c r="G27" s="242">
        <v>1284904</v>
      </c>
      <c r="H27" s="242">
        <v>1000478</v>
      </c>
      <c r="I27" s="242">
        <v>494779</v>
      </c>
      <c r="J27" s="242">
        <v>771150</v>
      </c>
      <c r="K27" s="242">
        <v>1413684</v>
      </c>
      <c r="L27" s="242">
        <v>817358</v>
      </c>
      <c r="M27" s="242">
        <v>951853</v>
      </c>
      <c r="N27" s="242">
        <v>573838</v>
      </c>
      <c r="O27" s="242">
        <v>503521</v>
      </c>
      <c r="P27" s="242">
        <v>280398</v>
      </c>
      <c r="Q27" s="196">
        <f>SUM(D27:P27)</f>
        <v>11561148</v>
      </c>
      <c r="R27" s="196">
        <v>11300546</v>
      </c>
      <c r="S27" s="197">
        <v>12396060</v>
      </c>
    </row>
    <row r="28" spans="1:20" s="21" customFormat="1" ht="18.95" customHeight="1" thickTop="1">
      <c r="A28" s="217">
        <v>7</v>
      </c>
      <c r="B28" s="207" t="s">
        <v>40</v>
      </c>
      <c r="C28" s="218"/>
      <c r="D28" s="209">
        <v>499762</v>
      </c>
      <c r="E28" s="209">
        <v>68505</v>
      </c>
      <c r="F28" s="209">
        <v>416911</v>
      </c>
      <c r="G28" s="209">
        <v>506286</v>
      </c>
      <c r="H28" s="209">
        <v>568442</v>
      </c>
      <c r="I28" s="209">
        <v>322415</v>
      </c>
      <c r="J28" s="209">
        <v>463354</v>
      </c>
      <c r="K28" s="209">
        <v>378808</v>
      </c>
      <c r="L28" s="209">
        <v>368819</v>
      </c>
      <c r="M28" s="209">
        <v>123603</v>
      </c>
      <c r="N28" s="209">
        <v>48586</v>
      </c>
      <c r="O28" s="209">
        <v>38654</v>
      </c>
      <c r="P28" s="209">
        <v>83805</v>
      </c>
      <c r="Q28" s="44">
        <f t="shared" si="11"/>
        <v>3887950</v>
      </c>
      <c r="R28" s="44">
        <v>3908015</v>
      </c>
      <c r="S28" s="14">
        <v>4467095</v>
      </c>
    </row>
    <row r="29" spans="1:20" s="21" customFormat="1" ht="18.95" customHeight="1">
      <c r="A29" s="210"/>
      <c r="B29" s="211" t="s">
        <v>41</v>
      </c>
      <c r="C29" s="212"/>
      <c r="D29" s="209">
        <v>78996</v>
      </c>
      <c r="E29" s="209">
        <v>531773</v>
      </c>
      <c r="F29" s="209">
        <v>108356</v>
      </c>
      <c r="G29" s="209">
        <v>0</v>
      </c>
      <c r="H29" s="209">
        <v>68652</v>
      </c>
      <c r="I29" s="209">
        <v>0</v>
      </c>
      <c r="J29" s="209">
        <v>14341</v>
      </c>
      <c r="K29" s="209">
        <v>85118</v>
      </c>
      <c r="L29" s="209">
        <v>0</v>
      </c>
      <c r="M29" s="209">
        <v>421662</v>
      </c>
      <c r="N29" s="209">
        <v>206089</v>
      </c>
      <c r="O29" s="209">
        <v>241355</v>
      </c>
      <c r="P29" s="209">
        <v>152058</v>
      </c>
      <c r="Q29" s="44">
        <f t="shared" si="11"/>
        <v>1908400</v>
      </c>
      <c r="R29" s="44">
        <v>1883877</v>
      </c>
      <c r="S29" s="14">
        <v>1448046</v>
      </c>
      <c r="T29" s="198"/>
    </row>
    <row r="30" spans="1:20" s="21" customFormat="1" ht="18.95" customHeight="1">
      <c r="A30" s="210"/>
      <c r="B30" s="211" t="s">
        <v>42</v>
      </c>
      <c r="C30" s="212"/>
      <c r="D30" s="209">
        <f t="shared" ref="D30:Q30" si="13">SUM(D28:D29)</f>
        <v>578758</v>
      </c>
      <c r="E30" s="209">
        <f t="shared" si="13"/>
        <v>600278</v>
      </c>
      <c r="F30" s="209">
        <f t="shared" si="13"/>
        <v>525267</v>
      </c>
      <c r="G30" s="209">
        <f t="shared" si="13"/>
        <v>506286</v>
      </c>
      <c r="H30" s="209">
        <f t="shared" si="13"/>
        <v>637094</v>
      </c>
      <c r="I30" s="209">
        <f t="shared" si="13"/>
        <v>322415</v>
      </c>
      <c r="J30" s="209">
        <f t="shared" si="13"/>
        <v>477695</v>
      </c>
      <c r="K30" s="209">
        <f t="shared" si="13"/>
        <v>463926</v>
      </c>
      <c r="L30" s="209">
        <f t="shared" si="13"/>
        <v>368819</v>
      </c>
      <c r="M30" s="209">
        <f t="shared" si="13"/>
        <v>545265</v>
      </c>
      <c r="N30" s="209">
        <f t="shared" si="13"/>
        <v>254675</v>
      </c>
      <c r="O30" s="209">
        <f t="shared" si="13"/>
        <v>280009</v>
      </c>
      <c r="P30" s="209">
        <f t="shared" si="13"/>
        <v>235863</v>
      </c>
      <c r="Q30" s="63">
        <f t="shared" si="13"/>
        <v>5796350</v>
      </c>
      <c r="R30" s="63">
        <v>5791892</v>
      </c>
      <c r="S30" s="20">
        <v>5915141</v>
      </c>
    </row>
    <row r="31" spans="1:20" s="21" customFormat="1" ht="18.95" customHeight="1">
      <c r="A31" s="243"/>
      <c r="B31" s="211" t="s">
        <v>43</v>
      </c>
      <c r="C31" s="212"/>
      <c r="D31" s="209">
        <f>24161+119494</f>
        <v>143655</v>
      </c>
      <c r="E31" s="209">
        <v>412084</v>
      </c>
      <c r="F31" s="209">
        <f>54948+26133</f>
        <v>81081</v>
      </c>
      <c r="G31" s="209">
        <f>282025+169931</f>
        <v>451956</v>
      </c>
      <c r="H31" s="209">
        <v>99116</v>
      </c>
      <c r="I31" s="209">
        <f>65122+4861</f>
        <v>69983</v>
      </c>
      <c r="J31" s="209">
        <v>128390</v>
      </c>
      <c r="K31" s="209">
        <f>209347+292164</f>
        <v>501511</v>
      </c>
      <c r="L31" s="209">
        <f>54822+346170</f>
        <v>400992</v>
      </c>
      <c r="M31" s="209">
        <f>64087+41963</f>
        <v>106050</v>
      </c>
      <c r="N31" s="209">
        <f>40122+61636</f>
        <v>101758</v>
      </c>
      <c r="O31" s="209">
        <f>46143+28214</f>
        <v>74357</v>
      </c>
      <c r="P31" s="209">
        <v>0</v>
      </c>
      <c r="Q31" s="45">
        <f>SUM(D31:P31)</f>
        <v>2570933</v>
      </c>
      <c r="R31" s="37">
        <v>2652415</v>
      </c>
      <c r="S31" s="46">
        <v>2868668</v>
      </c>
    </row>
    <row r="32" spans="1:20" s="21" customFormat="1" ht="18.95" customHeight="1">
      <c r="A32" s="243"/>
      <c r="B32" s="211" t="s">
        <v>153</v>
      </c>
      <c r="C32" s="212"/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72294</v>
      </c>
      <c r="L32" s="209">
        <v>0</v>
      </c>
      <c r="M32" s="209">
        <v>0</v>
      </c>
      <c r="N32" s="209">
        <v>96907</v>
      </c>
      <c r="O32" s="209">
        <v>0</v>
      </c>
      <c r="P32" s="209">
        <v>0</v>
      </c>
      <c r="Q32" s="45">
        <f>SUM(D32:P32)</f>
        <v>169201</v>
      </c>
      <c r="R32" s="137">
        <v>168746</v>
      </c>
      <c r="S32" s="38">
        <v>0</v>
      </c>
    </row>
    <row r="33" spans="1:19" s="21" customFormat="1" ht="18.95" customHeight="1">
      <c r="A33" s="243"/>
      <c r="B33" s="211" t="s">
        <v>150</v>
      </c>
      <c r="C33" s="212"/>
      <c r="D33" s="209">
        <f>SUM(D31:D32)</f>
        <v>143655</v>
      </c>
      <c r="E33" s="209">
        <f t="shared" ref="E33:Q33" si="14">SUM(E31:E32)</f>
        <v>412084</v>
      </c>
      <c r="F33" s="209">
        <f t="shared" si="14"/>
        <v>81081</v>
      </c>
      <c r="G33" s="209">
        <f t="shared" si="14"/>
        <v>451956</v>
      </c>
      <c r="H33" s="209">
        <f t="shared" si="14"/>
        <v>99116</v>
      </c>
      <c r="I33" s="209">
        <f t="shared" si="14"/>
        <v>69983</v>
      </c>
      <c r="J33" s="209">
        <f t="shared" si="14"/>
        <v>128390</v>
      </c>
      <c r="K33" s="209">
        <f t="shared" si="14"/>
        <v>573805</v>
      </c>
      <c r="L33" s="209">
        <f t="shared" si="14"/>
        <v>400992</v>
      </c>
      <c r="M33" s="209">
        <f t="shared" si="14"/>
        <v>106050</v>
      </c>
      <c r="N33" s="209">
        <f t="shared" si="14"/>
        <v>198665</v>
      </c>
      <c r="O33" s="209">
        <f t="shared" si="14"/>
        <v>74357</v>
      </c>
      <c r="P33" s="209">
        <f t="shared" si="14"/>
        <v>0</v>
      </c>
      <c r="Q33" s="13">
        <f t="shared" si="14"/>
        <v>2740134</v>
      </c>
      <c r="R33" s="37">
        <v>2821161</v>
      </c>
      <c r="S33" s="58">
        <v>2868668</v>
      </c>
    </row>
    <row r="34" spans="1:19" s="27" customFormat="1" ht="33" customHeight="1">
      <c r="A34" s="244"/>
      <c r="B34" s="245" t="s">
        <v>175</v>
      </c>
      <c r="C34" s="246"/>
      <c r="D34" s="247">
        <f>D30+D33</f>
        <v>722413</v>
      </c>
      <c r="E34" s="247">
        <f t="shared" ref="E34:Q34" si="15">E30+E33</f>
        <v>1012362</v>
      </c>
      <c r="F34" s="247">
        <f t="shared" si="15"/>
        <v>606348</v>
      </c>
      <c r="G34" s="247">
        <f t="shared" si="15"/>
        <v>958242</v>
      </c>
      <c r="H34" s="247">
        <f t="shared" si="15"/>
        <v>736210</v>
      </c>
      <c r="I34" s="247">
        <f t="shared" si="15"/>
        <v>392398</v>
      </c>
      <c r="J34" s="247">
        <f t="shared" si="15"/>
        <v>606085</v>
      </c>
      <c r="K34" s="247">
        <f t="shared" si="15"/>
        <v>1037731</v>
      </c>
      <c r="L34" s="247">
        <f t="shared" si="15"/>
        <v>769811</v>
      </c>
      <c r="M34" s="247">
        <f t="shared" si="15"/>
        <v>651315</v>
      </c>
      <c r="N34" s="247">
        <f t="shared" si="15"/>
        <v>453340</v>
      </c>
      <c r="O34" s="247">
        <f t="shared" si="15"/>
        <v>354366</v>
      </c>
      <c r="P34" s="247">
        <f t="shared" si="15"/>
        <v>235863</v>
      </c>
      <c r="Q34" s="68">
        <f t="shared" si="15"/>
        <v>8536484</v>
      </c>
      <c r="R34" s="68">
        <v>8613053</v>
      </c>
      <c r="S34" s="69">
        <v>8783809</v>
      </c>
    </row>
    <row r="35" spans="1:19" s="21" customFormat="1" ht="18.95" customHeight="1">
      <c r="A35" s="217"/>
      <c r="B35" s="207" t="s">
        <v>44</v>
      </c>
      <c r="C35" s="218"/>
      <c r="D35" s="248">
        <f>D34/C5</f>
        <v>23303.645161290322</v>
      </c>
      <c r="E35" s="248">
        <f>E34/C5</f>
        <v>32656.83870967742</v>
      </c>
      <c r="F35" s="248">
        <f>F34/C5</f>
        <v>19559.612903225807</v>
      </c>
      <c r="G35" s="248">
        <f>G34/C5</f>
        <v>30911.032258064515</v>
      </c>
      <c r="H35" s="248">
        <f>H34/C5</f>
        <v>23748.709677419356</v>
      </c>
      <c r="I35" s="248">
        <f>I34/C5</f>
        <v>12658</v>
      </c>
      <c r="J35" s="248">
        <f>J34/C5</f>
        <v>19551.129032258064</v>
      </c>
      <c r="K35" s="248">
        <f>K34/C5</f>
        <v>33475.193548387098</v>
      </c>
      <c r="L35" s="248">
        <f>L34/C5</f>
        <v>24832.612903225807</v>
      </c>
      <c r="M35" s="248">
        <f>M34/C5</f>
        <v>21010.16129032258</v>
      </c>
      <c r="N35" s="248">
        <f>N34/C5</f>
        <v>14623.870967741936</v>
      </c>
      <c r="O35" s="248">
        <f>O34/C5</f>
        <v>11431.161290322581</v>
      </c>
      <c r="P35" s="248">
        <f>P34/C5</f>
        <v>7608.4838709677415</v>
      </c>
      <c r="Q35" s="45">
        <f>Q34/C5</f>
        <v>275370.45161290321</v>
      </c>
      <c r="R35" s="37">
        <v>287101.76666666666</v>
      </c>
      <c r="S35" s="46">
        <v>283349</v>
      </c>
    </row>
    <row r="36" spans="1:19" s="21" customFormat="1" ht="18.95" customHeight="1">
      <c r="A36" s="223"/>
      <c r="B36" s="224" t="s">
        <v>45</v>
      </c>
      <c r="C36" s="225"/>
      <c r="D36" s="249">
        <f t="shared" ref="D36:Q36" si="16">SUM((D35)/D17)</f>
        <v>186.42916129032258</v>
      </c>
      <c r="E36" s="249">
        <f t="shared" si="16"/>
        <v>197.92023460410559</v>
      </c>
      <c r="F36" s="249">
        <f t="shared" si="16"/>
        <v>167.17617866004963</v>
      </c>
      <c r="G36" s="249">
        <f t="shared" si="16"/>
        <v>181.82960151802655</v>
      </c>
      <c r="H36" s="249">
        <f t="shared" si="16"/>
        <v>213.95233943621042</v>
      </c>
      <c r="I36" s="249">
        <f t="shared" si="16"/>
        <v>191.78787878787878</v>
      </c>
      <c r="J36" s="249">
        <f t="shared" si="16"/>
        <v>186.20122887864824</v>
      </c>
      <c r="K36" s="249">
        <f t="shared" si="16"/>
        <v>230.86340378198</v>
      </c>
      <c r="L36" s="249">
        <f t="shared" si="16"/>
        <v>264.17673301304052</v>
      </c>
      <c r="M36" s="249">
        <f t="shared" si="16"/>
        <v>221.15959252971138</v>
      </c>
      <c r="N36" s="249">
        <f t="shared" si="16"/>
        <v>194.98494623655915</v>
      </c>
      <c r="O36" s="249">
        <f t="shared" si="16"/>
        <v>204.12788018433181</v>
      </c>
      <c r="P36" s="249">
        <f t="shared" si="16"/>
        <v>195.08933002481388</v>
      </c>
      <c r="Q36" s="107">
        <f t="shared" si="16"/>
        <v>202.03261306889451</v>
      </c>
      <c r="R36" s="107">
        <v>210.02323823457692</v>
      </c>
      <c r="S36" s="108">
        <v>202.54</v>
      </c>
    </row>
    <row r="37" spans="1:19" s="21" customFormat="1" ht="13.5" customHeight="1">
      <c r="A37" s="217">
        <v>8</v>
      </c>
      <c r="B37" s="207" t="s">
        <v>46</v>
      </c>
      <c r="C37" s="21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44"/>
      <c r="R37" s="45"/>
      <c r="S37" s="14"/>
    </row>
    <row r="38" spans="1:19" s="21" customFormat="1" ht="18.95" customHeight="1">
      <c r="A38" s="243"/>
      <c r="B38" s="211" t="s">
        <v>47</v>
      </c>
      <c r="C38" s="212"/>
      <c r="D38" s="209">
        <v>5804</v>
      </c>
      <c r="E38" s="209">
        <v>2040</v>
      </c>
      <c r="F38" s="209">
        <v>14975</v>
      </c>
      <c r="G38" s="209">
        <v>18079</v>
      </c>
      <c r="H38" s="209">
        <v>5140</v>
      </c>
      <c r="I38" s="209">
        <v>6746</v>
      </c>
      <c r="J38" s="209">
        <v>5185</v>
      </c>
      <c r="K38" s="209">
        <v>5092</v>
      </c>
      <c r="L38" s="209">
        <v>3978</v>
      </c>
      <c r="M38" s="209">
        <v>2487</v>
      </c>
      <c r="N38" s="209">
        <v>954</v>
      </c>
      <c r="O38" s="209">
        <v>606</v>
      </c>
      <c r="P38" s="209">
        <v>1787</v>
      </c>
      <c r="Q38" s="37">
        <f>SUM(D38:P38)</f>
        <v>72873</v>
      </c>
      <c r="R38" s="97">
        <v>68774</v>
      </c>
      <c r="S38" s="38">
        <v>92904</v>
      </c>
    </row>
    <row r="39" spans="1:19" s="21" customFormat="1" ht="18.95" customHeight="1">
      <c r="A39" s="243"/>
      <c r="B39" s="211" t="s">
        <v>48</v>
      </c>
      <c r="C39" s="212"/>
      <c r="D39" s="209">
        <v>1036</v>
      </c>
      <c r="E39" s="209">
        <v>17866</v>
      </c>
      <c r="F39" s="209">
        <v>7269</v>
      </c>
      <c r="G39" s="209">
        <v>0</v>
      </c>
      <c r="H39" s="209">
        <v>870</v>
      </c>
      <c r="I39" s="209">
        <v>0</v>
      </c>
      <c r="J39" s="209">
        <v>210</v>
      </c>
      <c r="K39" s="209">
        <v>1091</v>
      </c>
      <c r="L39" s="209">
        <v>0</v>
      </c>
      <c r="M39" s="209">
        <v>2830</v>
      </c>
      <c r="N39" s="209">
        <v>3603</v>
      </c>
      <c r="O39" s="209">
        <v>3735</v>
      </c>
      <c r="P39" s="209">
        <v>6083</v>
      </c>
      <c r="Q39" s="37">
        <f>SUM(D39:P39)</f>
        <v>44593</v>
      </c>
      <c r="R39" s="44">
        <v>43852</v>
      </c>
      <c r="S39" s="38">
        <v>34496</v>
      </c>
    </row>
    <row r="40" spans="1:19" s="21" customFormat="1" ht="18.95" customHeight="1">
      <c r="A40" s="243"/>
      <c r="B40" s="211" t="s">
        <v>49</v>
      </c>
      <c r="C40" s="246"/>
      <c r="D40" s="250">
        <f t="shared" ref="D40:P40" si="17">SUM(D38:D39)</f>
        <v>6840</v>
      </c>
      <c r="E40" s="250">
        <f t="shared" si="17"/>
        <v>19906</v>
      </c>
      <c r="F40" s="250">
        <f t="shared" si="17"/>
        <v>22244</v>
      </c>
      <c r="G40" s="250">
        <f t="shared" si="17"/>
        <v>18079</v>
      </c>
      <c r="H40" s="250">
        <f t="shared" si="17"/>
        <v>6010</v>
      </c>
      <c r="I40" s="250">
        <f>SUM(I38:I39)</f>
        <v>6746</v>
      </c>
      <c r="J40" s="250">
        <f>SUM(J38:J39)</f>
        <v>5395</v>
      </c>
      <c r="K40" s="250">
        <f t="shared" si="17"/>
        <v>6183</v>
      </c>
      <c r="L40" s="250">
        <f t="shared" si="17"/>
        <v>3978</v>
      </c>
      <c r="M40" s="250">
        <f>SUM(M38:M39)</f>
        <v>5317</v>
      </c>
      <c r="N40" s="250">
        <f t="shared" si="17"/>
        <v>4557</v>
      </c>
      <c r="O40" s="250">
        <f t="shared" si="17"/>
        <v>4341</v>
      </c>
      <c r="P40" s="250">
        <f t="shared" si="17"/>
        <v>7870</v>
      </c>
      <c r="Q40" s="68">
        <f>SUM(D40:P40)</f>
        <v>117466</v>
      </c>
      <c r="R40" s="37">
        <v>112626</v>
      </c>
      <c r="S40" s="69">
        <v>127400</v>
      </c>
    </row>
    <row r="41" spans="1:19" s="21" customFormat="1" ht="18.95" customHeight="1">
      <c r="A41" s="210"/>
      <c r="B41" s="211" t="s">
        <v>50</v>
      </c>
      <c r="C41" s="212"/>
      <c r="D41" s="251">
        <f t="shared" ref="D41:P41" si="18">ROUND((D38)/$C5,0)</f>
        <v>187</v>
      </c>
      <c r="E41" s="251">
        <f t="shared" si="18"/>
        <v>66</v>
      </c>
      <c r="F41" s="251">
        <f t="shared" si="18"/>
        <v>483</v>
      </c>
      <c r="G41" s="251">
        <f t="shared" si="18"/>
        <v>583</v>
      </c>
      <c r="H41" s="251">
        <f t="shared" si="18"/>
        <v>166</v>
      </c>
      <c r="I41" s="251">
        <f t="shared" si="18"/>
        <v>218</v>
      </c>
      <c r="J41" s="251">
        <f t="shared" si="18"/>
        <v>167</v>
      </c>
      <c r="K41" s="251">
        <f t="shared" si="18"/>
        <v>164</v>
      </c>
      <c r="L41" s="251">
        <f t="shared" si="18"/>
        <v>128</v>
      </c>
      <c r="M41" s="251">
        <f t="shared" si="18"/>
        <v>80</v>
      </c>
      <c r="N41" s="251">
        <f t="shared" si="18"/>
        <v>31</v>
      </c>
      <c r="O41" s="251">
        <f t="shared" si="18"/>
        <v>20</v>
      </c>
      <c r="P41" s="251">
        <f t="shared" si="18"/>
        <v>58</v>
      </c>
      <c r="Q41" s="37">
        <f>Q38/C5</f>
        <v>2350.7419354838707</v>
      </c>
      <c r="R41" s="37">
        <v>2292.4666666666667</v>
      </c>
      <c r="S41" s="38">
        <v>2997</v>
      </c>
    </row>
    <row r="42" spans="1:19" s="21" customFormat="1" ht="18.95" customHeight="1">
      <c r="A42" s="210"/>
      <c r="B42" s="211" t="s">
        <v>51</v>
      </c>
      <c r="C42" s="212"/>
      <c r="D42" s="222">
        <f>SUM(D39/C5)</f>
        <v>33.41935483870968</v>
      </c>
      <c r="E42" s="222">
        <f>SUM(E39/C5)</f>
        <v>576.32258064516134</v>
      </c>
      <c r="F42" s="222">
        <f>SUM(F39/C5)</f>
        <v>234.48387096774192</v>
      </c>
      <c r="G42" s="222">
        <f>SUM(G39/C5)</f>
        <v>0</v>
      </c>
      <c r="H42" s="222">
        <f>SUM(H39/C5)</f>
        <v>28.06451612903226</v>
      </c>
      <c r="I42" s="222">
        <f>SUM(I39/C5)</f>
        <v>0</v>
      </c>
      <c r="J42" s="222">
        <f>SUM(J39/C5)</f>
        <v>6.774193548387097</v>
      </c>
      <c r="K42" s="222">
        <f>SUM(K39/C5)</f>
        <v>35.193548387096776</v>
      </c>
      <c r="L42" s="222">
        <f>SUM(L39/C5)</f>
        <v>0</v>
      </c>
      <c r="M42" s="222">
        <f>SUM(M39/C5)</f>
        <v>91.290322580645167</v>
      </c>
      <c r="N42" s="222">
        <f>SUM(N39/C5)</f>
        <v>116.2258064516129</v>
      </c>
      <c r="O42" s="222">
        <f>SUM(O39/C5)</f>
        <v>120.48387096774194</v>
      </c>
      <c r="P42" s="222">
        <f>SUM(P39/C5)</f>
        <v>196.2258064516129</v>
      </c>
      <c r="Q42" s="37">
        <f>Q39/C5</f>
        <v>1438.483870967742</v>
      </c>
      <c r="R42" s="37">
        <v>1461.7333333333333</v>
      </c>
      <c r="S42" s="38">
        <v>1113</v>
      </c>
    </row>
    <row r="43" spans="1:19" s="21" customFormat="1" ht="25.5">
      <c r="A43" s="210"/>
      <c r="B43" s="211" t="s">
        <v>52</v>
      </c>
      <c r="C43" s="212"/>
      <c r="D43" s="222">
        <f t="shared" ref="D43:P43" si="19">SUM(D41:D42)</f>
        <v>220.41935483870969</v>
      </c>
      <c r="E43" s="222">
        <f t="shared" si="19"/>
        <v>642.32258064516134</v>
      </c>
      <c r="F43" s="222">
        <f t="shared" si="19"/>
        <v>717.48387096774195</v>
      </c>
      <c r="G43" s="222">
        <f t="shared" si="19"/>
        <v>583</v>
      </c>
      <c r="H43" s="222">
        <f t="shared" si="19"/>
        <v>194.06451612903226</v>
      </c>
      <c r="I43" s="222">
        <f>SUM(I41:I42)</f>
        <v>218</v>
      </c>
      <c r="J43" s="222">
        <f>SUM(J41:J42)</f>
        <v>173.7741935483871</v>
      </c>
      <c r="K43" s="222">
        <f t="shared" si="19"/>
        <v>199.19354838709677</v>
      </c>
      <c r="L43" s="222">
        <f t="shared" si="19"/>
        <v>128</v>
      </c>
      <c r="M43" s="222">
        <f>SUM(M41:M42)</f>
        <v>171.29032258064518</v>
      </c>
      <c r="N43" s="222">
        <f t="shared" si="19"/>
        <v>147.2258064516129</v>
      </c>
      <c r="O43" s="222">
        <f t="shared" si="19"/>
        <v>140.48387096774195</v>
      </c>
      <c r="P43" s="222">
        <f t="shared" si="19"/>
        <v>254.2258064516129</v>
      </c>
      <c r="Q43" s="37">
        <f>Q40/C5</f>
        <v>3789.2258064516127</v>
      </c>
      <c r="R43" s="37">
        <v>3754.2</v>
      </c>
      <c r="S43" s="38">
        <v>4110</v>
      </c>
    </row>
    <row r="44" spans="1:19" s="21" customFormat="1" ht="18.95" customHeight="1">
      <c r="A44" s="210"/>
      <c r="B44" s="211" t="s">
        <v>53</v>
      </c>
      <c r="C44" s="212"/>
      <c r="D44" s="209">
        <v>16554</v>
      </c>
      <c r="E44" s="209">
        <v>17236</v>
      </c>
      <c r="F44" s="209">
        <v>15575</v>
      </c>
      <c r="G44" s="209">
        <v>13423</v>
      </c>
      <c r="H44" s="209">
        <v>5766</v>
      </c>
      <c r="I44" s="209">
        <v>6696</v>
      </c>
      <c r="J44" s="209">
        <v>2235</v>
      </c>
      <c r="K44" s="209">
        <v>4774</v>
      </c>
      <c r="L44" s="209">
        <v>3472</v>
      </c>
      <c r="M44" s="209">
        <v>9300</v>
      </c>
      <c r="N44" s="209">
        <v>1860</v>
      </c>
      <c r="O44" s="209">
        <v>1860</v>
      </c>
      <c r="P44" s="209">
        <v>3390</v>
      </c>
      <c r="Q44" s="76">
        <f>SUM(D44:P44)</f>
        <v>102141</v>
      </c>
      <c r="R44" s="37">
        <v>95370</v>
      </c>
      <c r="S44" s="117">
        <v>100452</v>
      </c>
    </row>
    <row r="45" spans="1:19" s="21" customFormat="1" ht="18" customHeight="1">
      <c r="A45" s="252"/>
      <c r="B45" s="253" t="s">
        <v>54</v>
      </c>
      <c r="C45" s="254"/>
      <c r="D45" s="255">
        <f t="shared" ref="D45:P45" si="20">ROUND((D44)/$C5,0)</f>
        <v>534</v>
      </c>
      <c r="E45" s="255">
        <f t="shared" si="20"/>
        <v>556</v>
      </c>
      <c r="F45" s="255">
        <f t="shared" si="20"/>
        <v>502</v>
      </c>
      <c r="G45" s="255">
        <f t="shared" si="20"/>
        <v>433</v>
      </c>
      <c r="H45" s="255">
        <f t="shared" si="20"/>
        <v>186</v>
      </c>
      <c r="I45" s="255">
        <f t="shared" si="20"/>
        <v>216</v>
      </c>
      <c r="J45" s="255">
        <f t="shared" si="20"/>
        <v>72</v>
      </c>
      <c r="K45" s="255">
        <f t="shared" si="20"/>
        <v>154</v>
      </c>
      <c r="L45" s="255">
        <f t="shared" si="20"/>
        <v>112</v>
      </c>
      <c r="M45" s="255">
        <f t="shared" si="20"/>
        <v>300</v>
      </c>
      <c r="N45" s="255">
        <f t="shared" si="20"/>
        <v>60</v>
      </c>
      <c r="O45" s="255">
        <f t="shared" si="20"/>
        <v>60</v>
      </c>
      <c r="P45" s="255">
        <f t="shared" si="20"/>
        <v>109</v>
      </c>
      <c r="Q45" s="59">
        <f>Q44/C5</f>
        <v>3294.8709677419356</v>
      </c>
      <c r="R45" s="59">
        <v>3179</v>
      </c>
      <c r="S45" s="60">
        <v>3240</v>
      </c>
    </row>
    <row r="46" spans="1:19" ht="18.95" customHeight="1">
      <c r="A46" s="256">
        <v>9</v>
      </c>
      <c r="B46" s="257" t="s">
        <v>173</v>
      </c>
      <c r="C46" s="258"/>
      <c r="D46" s="209">
        <v>522120</v>
      </c>
      <c r="E46" s="209">
        <v>70545</v>
      </c>
      <c r="F46" s="209">
        <v>447091</v>
      </c>
      <c r="G46" s="209">
        <v>537788</v>
      </c>
      <c r="H46" s="209">
        <v>579348</v>
      </c>
      <c r="I46" s="209">
        <v>335857</v>
      </c>
      <c r="J46" s="209">
        <v>470774</v>
      </c>
      <c r="K46" s="209">
        <v>388612</v>
      </c>
      <c r="L46" s="209">
        <v>376269</v>
      </c>
      <c r="M46" s="209">
        <v>126090</v>
      </c>
      <c r="N46" s="209">
        <v>49850</v>
      </c>
      <c r="O46" s="209">
        <v>40190</v>
      </c>
      <c r="P46" s="209">
        <v>87742</v>
      </c>
      <c r="Q46" s="45">
        <f>SUM(D46:P46)</f>
        <v>4032276</v>
      </c>
      <c r="R46" s="169">
        <v>4042452</v>
      </c>
      <c r="S46" s="46">
        <v>4087540</v>
      </c>
    </row>
    <row r="47" spans="1:19" ht="18.95" customHeight="1">
      <c r="A47" s="210"/>
      <c r="B47" s="207" t="s">
        <v>56</v>
      </c>
      <c r="C47" s="212"/>
      <c r="D47" s="209">
        <v>80032</v>
      </c>
      <c r="E47" s="209">
        <v>566875</v>
      </c>
      <c r="F47" s="209">
        <v>115995</v>
      </c>
      <c r="G47" s="209">
        <v>0</v>
      </c>
      <c r="H47" s="209">
        <v>69522</v>
      </c>
      <c r="I47" s="209">
        <v>0</v>
      </c>
      <c r="J47" s="209">
        <v>14551</v>
      </c>
      <c r="K47" s="209">
        <v>86271</v>
      </c>
      <c r="L47" s="209">
        <v>0</v>
      </c>
      <c r="M47" s="209">
        <v>433792</v>
      </c>
      <c r="N47" s="209">
        <v>211242</v>
      </c>
      <c r="O47" s="209">
        <v>246020</v>
      </c>
      <c r="P47" s="209">
        <v>159381</v>
      </c>
      <c r="Q47" s="37">
        <f>SUM(D47:P47)</f>
        <v>1983681</v>
      </c>
      <c r="R47" s="37">
        <v>1957436</v>
      </c>
      <c r="S47" s="38">
        <v>2055453</v>
      </c>
    </row>
    <row r="48" spans="1:19" s="57" customFormat="1" ht="25.5">
      <c r="A48" s="235"/>
      <c r="B48" s="236" t="s">
        <v>57</v>
      </c>
      <c r="C48" s="237"/>
      <c r="D48" s="259">
        <f t="shared" ref="D48:P48" si="21">SUM(D46:D47)</f>
        <v>602152</v>
      </c>
      <c r="E48" s="259">
        <f t="shared" si="21"/>
        <v>637420</v>
      </c>
      <c r="F48" s="259">
        <f t="shared" si="21"/>
        <v>563086</v>
      </c>
      <c r="G48" s="259">
        <f t="shared" si="21"/>
        <v>537788</v>
      </c>
      <c r="H48" s="259">
        <f t="shared" si="21"/>
        <v>648870</v>
      </c>
      <c r="I48" s="259">
        <f>SUM(I46:I47)</f>
        <v>335857</v>
      </c>
      <c r="J48" s="259">
        <f>SUM(J46:J47)</f>
        <v>485325</v>
      </c>
      <c r="K48" s="259">
        <f t="shared" si="21"/>
        <v>474883</v>
      </c>
      <c r="L48" s="259">
        <f t="shared" si="21"/>
        <v>376269</v>
      </c>
      <c r="M48" s="259">
        <f>SUM(M46:M47)</f>
        <v>559882</v>
      </c>
      <c r="N48" s="259">
        <f t="shared" si="21"/>
        <v>261092</v>
      </c>
      <c r="O48" s="259">
        <f t="shared" si="21"/>
        <v>286210</v>
      </c>
      <c r="P48" s="259">
        <f t="shared" si="21"/>
        <v>247123</v>
      </c>
      <c r="Q48" s="85">
        <f>SUM(D48:P48)</f>
        <v>6015957</v>
      </c>
      <c r="R48" s="170">
        <v>5999888</v>
      </c>
      <c r="S48" s="172">
        <v>6142993</v>
      </c>
    </row>
    <row r="49" spans="1:19" ht="25.5">
      <c r="A49" s="217"/>
      <c r="B49" s="207" t="s">
        <v>58</v>
      </c>
      <c r="C49" s="218"/>
      <c r="D49" s="248">
        <f>SUM(D46/C5)</f>
        <v>16842.580645161292</v>
      </c>
      <c r="E49" s="248">
        <f>SUM(E46/C5)</f>
        <v>2275.6451612903224</v>
      </c>
      <c r="F49" s="248">
        <f>SUM(F46/C5)</f>
        <v>14422.290322580646</v>
      </c>
      <c r="G49" s="248">
        <f>SUM(G46/C5)</f>
        <v>17348</v>
      </c>
      <c r="H49" s="248">
        <f>SUM(H46/C5)</f>
        <v>18688.645161290322</v>
      </c>
      <c r="I49" s="248">
        <f>SUM(I46/C5)</f>
        <v>10834.096774193549</v>
      </c>
      <c r="J49" s="248">
        <f>SUM(J46/C5)</f>
        <v>15186.258064516129</v>
      </c>
      <c r="K49" s="248">
        <f>SUM(K46/C5)</f>
        <v>12535.870967741936</v>
      </c>
      <c r="L49" s="248">
        <f>SUM(L46/C5)</f>
        <v>12137.709677419354</v>
      </c>
      <c r="M49" s="248">
        <f>SUM(M46/C5)</f>
        <v>4067.4193548387098</v>
      </c>
      <c r="N49" s="248">
        <f>SUM(N46/C5)</f>
        <v>1608.0645161290322</v>
      </c>
      <c r="O49" s="248">
        <f>SUM(O46/C5)</f>
        <v>1296.4516129032259</v>
      </c>
      <c r="P49" s="248">
        <f>SUM(P46/C5)</f>
        <v>2830.3870967741937</v>
      </c>
      <c r="Q49" s="45">
        <f>Q46/C5</f>
        <v>130073.41935483871</v>
      </c>
      <c r="R49" s="37">
        <v>134748.4</v>
      </c>
      <c r="S49" s="46">
        <v>131856</v>
      </c>
    </row>
    <row r="50" spans="1:19" ht="18.95" customHeight="1">
      <c r="A50" s="210"/>
      <c r="B50" s="207" t="s">
        <v>59</v>
      </c>
      <c r="C50" s="212"/>
      <c r="D50" s="222">
        <f>SUM(D47/C5)</f>
        <v>2581.6774193548385</v>
      </c>
      <c r="E50" s="222">
        <f>SUM(E47/C5)</f>
        <v>18286.290322580644</v>
      </c>
      <c r="F50" s="222">
        <f>SUM(F47/C5)</f>
        <v>3741.7741935483873</v>
      </c>
      <c r="G50" s="222">
        <f>SUM(G47/C5)</f>
        <v>0</v>
      </c>
      <c r="H50" s="222">
        <f>SUM(H47/C5)</f>
        <v>2242.6451612903224</v>
      </c>
      <c r="I50" s="222">
        <f>SUM(I47/C5)</f>
        <v>0</v>
      </c>
      <c r="J50" s="222">
        <f>SUM(J47/C5)</f>
        <v>469.38709677419354</v>
      </c>
      <c r="K50" s="222">
        <f>SUM(K47/C5)</f>
        <v>2782.9354838709678</v>
      </c>
      <c r="L50" s="222">
        <f>SUM(L47/C5)</f>
        <v>0</v>
      </c>
      <c r="M50" s="222">
        <f>SUM(M47/C5)</f>
        <v>13993.290322580646</v>
      </c>
      <c r="N50" s="222">
        <f>SUM(N47/C5)</f>
        <v>6814.2580645161288</v>
      </c>
      <c r="O50" s="222">
        <f>SUM(O47/C5)</f>
        <v>7936.1290322580644</v>
      </c>
      <c r="P50" s="222">
        <f>SUM(P47/C5)</f>
        <v>5141.322580645161</v>
      </c>
      <c r="Q50" s="37">
        <f>Q47/C5</f>
        <v>63989.709677419356</v>
      </c>
      <c r="R50" s="36">
        <v>65247.866666666669</v>
      </c>
      <c r="S50" s="38">
        <v>66305</v>
      </c>
    </row>
    <row r="51" spans="1:19" ht="18.95" customHeight="1">
      <c r="A51" s="223"/>
      <c r="B51" s="224" t="s">
        <v>60</v>
      </c>
      <c r="C51" s="225"/>
      <c r="D51" s="238">
        <f t="shared" ref="D51:P51" si="22">SUM(D49:D50)</f>
        <v>19424.258064516129</v>
      </c>
      <c r="E51" s="238">
        <f t="shared" si="22"/>
        <v>20561.935483870966</v>
      </c>
      <c r="F51" s="238">
        <f t="shared" si="22"/>
        <v>18164.064516129034</v>
      </c>
      <c r="G51" s="238">
        <f t="shared" si="22"/>
        <v>17348</v>
      </c>
      <c r="H51" s="238">
        <f t="shared" si="22"/>
        <v>20931.290322580644</v>
      </c>
      <c r="I51" s="238">
        <f>SUM(I49:I50)</f>
        <v>10834.096774193549</v>
      </c>
      <c r="J51" s="238">
        <f>SUM(J49:J50)</f>
        <v>15655.645161290322</v>
      </c>
      <c r="K51" s="238">
        <f t="shared" si="22"/>
        <v>15318.806451612903</v>
      </c>
      <c r="L51" s="238">
        <f t="shared" si="22"/>
        <v>12137.709677419354</v>
      </c>
      <c r="M51" s="238">
        <f>SUM(M49:M50)</f>
        <v>18060.709677419356</v>
      </c>
      <c r="N51" s="238">
        <f t="shared" si="22"/>
        <v>8422.322580645161</v>
      </c>
      <c r="O51" s="238">
        <f t="shared" si="22"/>
        <v>9232.5806451612898</v>
      </c>
      <c r="P51" s="238">
        <f t="shared" si="22"/>
        <v>7971.7096774193542</v>
      </c>
      <c r="Q51" s="59">
        <f>Q48/C5</f>
        <v>194063.12903225806</v>
      </c>
      <c r="R51" s="59">
        <v>199996.26666666666</v>
      </c>
      <c r="S51" s="60">
        <v>198161</v>
      </c>
    </row>
    <row r="52" spans="1:19" s="33" customFormat="1" ht="18.95" customHeight="1">
      <c r="A52" s="244">
        <v>10</v>
      </c>
      <c r="B52" s="245" t="s">
        <v>61</v>
      </c>
      <c r="C52" s="260"/>
      <c r="D52" s="248">
        <f t="shared" ref="D52:Q52" si="23">D27-D34</f>
        <v>312894</v>
      </c>
      <c r="E52" s="248">
        <f t="shared" si="23"/>
        <v>451790</v>
      </c>
      <c r="F52" s="248">
        <f t="shared" si="23"/>
        <v>363378</v>
      </c>
      <c r="G52" s="248">
        <f t="shared" si="23"/>
        <v>326662</v>
      </c>
      <c r="H52" s="248">
        <f t="shared" si="23"/>
        <v>264268</v>
      </c>
      <c r="I52" s="248">
        <f t="shared" si="23"/>
        <v>102381</v>
      </c>
      <c r="J52" s="248">
        <f t="shared" si="23"/>
        <v>165065</v>
      </c>
      <c r="K52" s="248">
        <f t="shared" si="23"/>
        <v>375953</v>
      </c>
      <c r="L52" s="248">
        <f t="shared" si="23"/>
        <v>47547</v>
      </c>
      <c r="M52" s="248">
        <f t="shared" si="23"/>
        <v>300538</v>
      </c>
      <c r="N52" s="248">
        <f t="shared" si="23"/>
        <v>120498</v>
      </c>
      <c r="O52" s="248">
        <f t="shared" si="23"/>
        <v>149155</v>
      </c>
      <c r="P52" s="248">
        <f t="shared" si="23"/>
        <v>44535</v>
      </c>
      <c r="Q52" s="45">
        <f t="shared" si="23"/>
        <v>3024664</v>
      </c>
      <c r="R52" s="45">
        <v>2687493</v>
      </c>
      <c r="S52" s="46">
        <v>3612251</v>
      </c>
    </row>
    <row r="53" spans="1:19" ht="18.75" customHeight="1">
      <c r="A53" s="223"/>
      <c r="B53" s="224" t="s">
        <v>62</v>
      </c>
      <c r="C53" s="225"/>
      <c r="D53" s="238">
        <f>SUM(D52/C5)</f>
        <v>10093.354838709678</v>
      </c>
      <c r="E53" s="238">
        <f>SUM(E52/C5)</f>
        <v>14573.870967741936</v>
      </c>
      <c r="F53" s="238">
        <f>SUM(F52/C5)</f>
        <v>11721.870967741936</v>
      </c>
      <c r="G53" s="238">
        <f>SUM(G52/C5)</f>
        <v>10537.483870967742</v>
      </c>
      <c r="H53" s="238">
        <f>SUM(H52/C5)</f>
        <v>8524.7741935483864</v>
      </c>
      <c r="I53" s="238">
        <f>SUM(I52/C5)</f>
        <v>3302.6129032258063</v>
      </c>
      <c r="J53" s="238">
        <f>SUM(J52/C5)</f>
        <v>5324.677419354839</v>
      </c>
      <c r="K53" s="238">
        <f>SUM(K52/C5)</f>
        <v>12127.516129032258</v>
      </c>
      <c r="L53" s="238">
        <f>SUM(L52/C5)</f>
        <v>1533.7741935483871</v>
      </c>
      <c r="M53" s="238">
        <f>SUM(M52/C5)</f>
        <v>9694.7741935483864</v>
      </c>
      <c r="N53" s="238">
        <f>SUM(N52/C5)</f>
        <v>3887.0322580645161</v>
      </c>
      <c r="O53" s="238">
        <f>SUM(O52/C5)</f>
        <v>4811.4516129032254</v>
      </c>
      <c r="P53" s="238">
        <f>SUM(P52/C5)</f>
        <v>1436.6129032258063</v>
      </c>
      <c r="Q53" s="59">
        <f>SUM(Q52/C5)</f>
        <v>97569.806451612909</v>
      </c>
      <c r="R53" s="59">
        <v>89583.1</v>
      </c>
      <c r="S53" s="60">
        <v>116524</v>
      </c>
    </row>
    <row r="54" spans="1:19" s="15" customFormat="1" ht="27.75" customHeight="1">
      <c r="A54" s="206">
        <v>11</v>
      </c>
      <c r="B54" s="207" t="s">
        <v>63</v>
      </c>
      <c r="C54" s="220"/>
      <c r="D54" s="209">
        <v>28475027</v>
      </c>
      <c r="E54" s="209">
        <v>41545324</v>
      </c>
      <c r="F54" s="209">
        <v>30478586</v>
      </c>
      <c r="G54" s="209">
        <v>48131884</v>
      </c>
      <c r="H54" s="209">
        <v>30056575</v>
      </c>
      <c r="I54" s="209">
        <v>17979774</v>
      </c>
      <c r="J54" s="209">
        <v>27820879</v>
      </c>
      <c r="K54" s="209">
        <v>36376385</v>
      </c>
      <c r="L54" s="209">
        <v>27817535</v>
      </c>
      <c r="M54" s="209">
        <v>22966480</v>
      </c>
      <c r="N54" s="209">
        <v>19674230</v>
      </c>
      <c r="O54" s="209">
        <v>15444914</v>
      </c>
      <c r="P54" s="209">
        <v>9798856</v>
      </c>
      <c r="Q54" s="87">
        <f>SUM(D54:P54)</f>
        <v>356566449</v>
      </c>
      <c r="R54" s="45">
        <v>348614663</v>
      </c>
      <c r="S54" s="173">
        <v>348081283</v>
      </c>
    </row>
    <row r="55" spans="1:19" s="21" customFormat="1" ht="18.95" customHeight="1">
      <c r="A55" s="210"/>
      <c r="B55" s="211" t="s">
        <v>64</v>
      </c>
      <c r="C55" s="212"/>
      <c r="D55" s="228">
        <f t="shared" ref="D55:P55" si="24">ROUND((D54)/$C5,0)</f>
        <v>918549</v>
      </c>
      <c r="E55" s="228">
        <f t="shared" si="24"/>
        <v>1340172</v>
      </c>
      <c r="F55" s="228">
        <f t="shared" si="24"/>
        <v>983180</v>
      </c>
      <c r="G55" s="228">
        <f t="shared" si="24"/>
        <v>1552641</v>
      </c>
      <c r="H55" s="228">
        <f t="shared" si="24"/>
        <v>969567</v>
      </c>
      <c r="I55" s="228">
        <f t="shared" si="24"/>
        <v>579993</v>
      </c>
      <c r="J55" s="228">
        <f t="shared" si="24"/>
        <v>897448</v>
      </c>
      <c r="K55" s="228">
        <f t="shared" si="24"/>
        <v>1173432</v>
      </c>
      <c r="L55" s="228">
        <f t="shared" si="24"/>
        <v>897340</v>
      </c>
      <c r="M55" s="228">
        <f t="shared" si="24"/>
        <v>740854</v>
      </c>
      <c r="N55" s="228">
        <f t="shared" si="24"/>
        <v>634653</v>
      </c>
      <c r="O55" s="228">
        <f t="shared" si="24"/>
        <v>498223</v>
      </c>
      <c r="P55" s="228">
        <f t="shared" si="24"/>
        <v>316092</v>
      </c>
      <c r="Q55" s="45">
        <f>SUM(D55:P55)</f>
        <v>11502144</v>
      </c>
      <c r="R55" s="37">
        <v>11620489</v>
      </c>
      <c r="S55" s="46">
        <v>11228427</v>
      </c>
    </row>
    <row r="56" spans="1:19" s="15" customFormat="1" ht="18.95" customHeight="1">
      <c r="A56" s="261"/>
      <c r="B56" s="231" t="s">
        <v>65</v>
      </c>
      <c r="C56" s="262"/>
      <c r="D56" s="263">
        <f>SUM(D55/D65)</f>
        <v>13.570641396457386</v>
      </c>
      <c r="E56" s="263">
        <f t="shared" ref="E56:Q56" si="25">SUM(E55/E65)</f>
        <v>14.842861282074276</v>
      </c>
      <c r="F56" s="263">
        <f t="shared" si="25"/>
        <v>12.898152744434132</v>
      </c>
      <c r="G56" s="263">
        <f t="shared" si="25"/>
        <v>12.92771077218112</v>
      </c>
      <c r="H56" s="263">
        <f t="shared" si="25"/>
        <v>13.941247600821171</v>
      </c>
      <c r="I56" s="263">
        <f>SUM(I55/I65)</f>
        <v>12.267546965894715</v>
      </c>
      <c r="J56" s="263">
        <f>SUM(J55/J65)</f>
        <v>13.439769821095418</v>
      </c>
      <c r="K56" s="263">
        <f t="shared" si="25"/>
        <v>14.848985776542643</v>
      </c>
      <c r="L56" s="263">
        <f t="shared" si="25"/>
        <v>16.189092754478438</v>
      </c>
      <c r="M56" s="263">
        <f>SUM(M55/M65)</f>
        <v>14.341121314415382</v>
      </c>
      <c r="N56" s="263">
        <f t="shared" si="25"/>
        <v>12.951232372809725</v>
      </c>
      <c r="O56" s="263">
        <f t="shared" si="25"/>
        <v>14.037894803813748</v>
      </c>
      <c r="P56" s="263">
        <f t="shared" si="25"/>
        <v>13.303138007716724</v>
      </c>
      <c r="Q56" s="90">
        <f t="shared" si="25"/>
        <v>13.820141498846557</v>
      </c>
      <c r="R56" s="183">
        <v>14.213200368174077</v>
      </c>
      <c r="S56" s="91">
        <v>14</v>
      </c>
    </row>
    <row r="57" spans="1:19" s="21" customFormat="1" ht="26.25" thickBot="1">
      <c r="A57" s="264"/>
      <c r="B57" s="265" t="s">
        <v>66</v>
      </c>
      <c r="C57" s="266"/>
      <c r="D57" s="267">
        <f t="shared" ref="D57:Q57" si="26">SUM(D55/D17)</f>
        <v>7348.3919999999998</v>
      </c>
      <c r="E57" s="267">
        <f t="shared" si="26"/>
        <v>8122.2545454545452</v>
      </c>
      <c r="F57" s="267">
        <f t="shared" si="26"/>
        <v>8403.2478632478633</v>
      </c>
      <c r="G57" s="267">
        <f t="shared" si="26"/>
        <v>9133.1823529411758</v>
      </c>
      <c r="H57" s="267">
        <f t="shared" si="26"/>
        <v>8734.8378378378384</v>
      </c>
      <c r="I57" s="267">
        <f t="shared" si="26"/>
        <v>8787.7727272727279</v>
      </c>
      <c r="J57" s="267">
        <f t="shared" si="26"/>
        <v>8547.1238095238095</v>
      </c>
      <c r="K57" s="267">
        <f t="shared" si="26"/>
        <v>8092.6344827586208</v>
      </c>
      <c r="L57" s="267">
        <f t="shared" si="26"/>
        <v>9546.1702127659573</v>
      </c>
      <c r="M57" s="267">
        <f t="shared" si="26"/>
        <v>7798.4631578947365</v>
      </c>
      <c r="N57" s="267">
        <f t="shared" si="26"/>
        <v>8462.0400000000009</v>
      </c>
      <c r="O57" s="267">
        <f t="shared" si="26"/>
        <v>8896.8392857142862</v>
      </c>
      <c r="P57" s="267">
        <f t="shared" si="26"/>
        <v>8104.9230769230771</v>
      </c>
      <c r="Q57" s="73">
        <f t="shared" si="26"/>
        <v>8438.8437270726336</v>
      </c>
      <c r="R57" s="103">
        <v>8500.7234820775429</v>
      </c>
      <c r="S57" s="74">
        <v>8026.04</v>
      </c>
    </row>
    <row r="58" spans="1:19" s="21" customFormat="1" ht="20.100000000000001" customHeight="1" thickTop="1">
      <c r="A58" s="217">
        <v>12</v>
      </c>
      <c r="B58" s="207" t="s">
        <v>67</v>
      </c>
      <c r="C58" s="218"/>
      <c r="D58" s="268">
        <f t="shared" ref="D58:Q58" si="27">SUM(D54)/D34</f>
        <v>39.416548428668918</v>
      </c>
      <c r="E58" s="268">
        <f t="shared" si="27"/>
        <v>41.038012094487939</v>
      </c>
      <c r="F58" s="268">
        <f t="shared" si="27"/>
        <v>50.265830843014243</v>
      </c>
      <c r="G58" s="268">
        <f t="shared" si="27"/>
        <v>50.229361685252783</v>
      </c>
      <c r="H58" s="268">
        <f t="shared" si="27"/>
        <v>40.82608902351231</v>
      </c>
      <c r="I58" s="268">
        <f t="shared" si="27"/>
        <v>45.820248828995048</v>
      </c>
      <c r="J58" s="268">
        <f t="shared" si="27"/>
        <v>45.902602770238495</v>
      </c>
      <c r="K58" s="268">
        <f t="shared" si="27"/>
        <v>35.053771160348873</v>
      </c>
      <c r="L58" s="268">
        <f t="shared" si="27"/>
        <v>36.135538463337106</v>
      </c>
      <c r="M58" s="268">
        <f t="shared" si="27"/>
        <v>35.26170900409172</v>
      </c>
      <c r="N58" s="268">
        <f t="shared" si="27"/>
        <v>43.398398552962455</v>
      </c>
      <c r="O58" s="268">
        <f t="shared" si="27"/>
        <v>43.58463848111839</v>
      </c>
      <c r="P58" s="268">
        <f t="shared" si="27"/>
        <v>41.544693317731053</v>
      </c>
      <c r="Q58" s="145">
        <f t="shared" si="27"/>
        <v>41.76970858259677</v>
      </c>
      <c r="R58" s="100">
        <v>40.475155905809473</v>
      </c>
      <c r="S58" s="140">
        <v>39.630000000000003</v>
      </c>
    </row>
    <row r="59" spans="1:19" s="15" customFormat="1">
      <c r="A59" s="261">
        <v>13</v>
      </c>
      <c r="B59" s="211" t="s">
        <v>68</v>
      </c>
      <c r="C59" s="262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19"/>
      <c r="R59" s="92"/>
      <c r="S59" s="96"/>
    </row>
    <row r="60" spans="1:19" s="21" customFormat="1">
      <c r="A60" s="210"/>
      <c r="B60" s="211" t="s">
        <v>69</v>
      </c>
      <c r="C60" s="212"/>
      <c r="D60" s="269">
        <f>SUM(D58)/69.88*100</f>
        <v>56.406050985502176</v>
      </c>
      <c r="E60" s="269">
        <f t="shared" ref="E60:P60" si="28">SUM(E58)/69.88*100</f>
        <v>58.726405401385151</v>
      </c>
      <c r="F60" s="269">
        <f t="shared" si="28"/>
        <v>71.93164116058135</v>
      </c>
      <c r="G60" s="269">
        <f t="shared" si="28"/>
        <v>71.879452898186585</v>
      </c>
      <c r="H60" s="269">
        <f t="shared" si="28"/>
        <v>58.423138270624378</v>
      </c>
      <c r="I60" s="269">
        <f t="shared" si="28"/>
        <v>65.569903876638591</v>
      </c>
      <c r="J60" s="269">
        <f t="shared" si="28"/>
        <v>65.687754393586857</v>
      </c>
      <c r="K60" s="269">
        <f t="shared" si="28"/>
        <v>50.162809330779737</v>
      </c>
      <c r="L60" s="269">
        <f t="shared" si="28"/>
        <v>51.710844967568846</v>
      </c>
      <c r="M60" s="269">
        <f t="shared" si="28"/>
        <v>50.460373503279513</v>
      </c>
      <c r="N60" s="269">
        <f t="shared" si="28"/>
        <v>62.104176521125446</v>
      </c>
      <c r="O60" s="269">
        <f t="shared" si="28"/>
        <v>62.370690442356022</v>
      </c>
      <c r="P60" s="269">
        <f t="shared" si="28"/>
        <v>59.451478703106829</v>
      </c>
      <c r="Q60" s="97">
        <f>SUM(Q58)/69.88*100</f>
        <v>59.773481085570658</v>
      </c>
      <c r="R60" s="97">
        <v>57.920944341456035</v>
      </c>
      <c r="S60" s="98">
        <v>56.38</v>
      </c>
    </row>
    <row r="61" spans="1:19" s="27" customFormat="1" ht="60">
      <c r="A61" s="244"/>
      <c r="B61" s="270" t="s">
        <v>176</v>
      </c>
      <c r="C61" s="246"/>
      <c r="D61" s="271">
        <f>D129/69.88*100</f>
        <v>70.327608330183153</v>
      </c>
      <c r="E61" s="271">
        <f t="shared" ref="E61:P61" si="29">E129/69.88*100</f>
        <v>75.140711539898504</v>
      </c>
      <c r="F61" s="271">
        <f t="shared" si="29"/>
        <v>85.550928771119146</v>
      </c>
      <c r="G61" s="271">
        <f t="shared" si="29"/>
        <v>85.297290673085939</v>
      </c>
      <c r="H61" s="271">
        <f t="shared" si="29"/>
        <v>73.881506967469406</v>
      </c>
      <c r="I61" s="271">
        <f t="shared" si="29"/>
        <v>79.204491059112669</v>
      </c>
      <c r="J61" s="271">
        <f t="shared" si="29"/>
        <v>79.025750790830813</v>
      </c>
      <c r="K61" s="271">
        <f t="shared" si="29"/>
        <v>63.96289762168135</v>
      </c>
      <c r="L61" s="271">
        <f t="shared" si="29"/>
        <v>69.498403022941545</v>
      </c>
      <c r="M61" s="271">
        <f t="shared" si="29"/>
        <v>64.946222327747378</v>
      </c>
      <c r="N61" s="271">
        <f t="shared" si="29"/>
        <v>76.156295206589974</v>
      </c>
      <c r="O61" s="271">
        <f t="shared" si="29"/>
        <v>76.03710959356485</v>
      </c>
      <c r="P61" s="271">
        <f t="shared" si="29"/>
        <v>72.745648047470567</v>
      </c>
      <c r="Q61" s="100">
        <f>Q129/69.88*100</f>
        <v>74.346487905886875</v>
      </c>
      <c r="R61" s="90">
        <v>69.2856041865751</v>
      </c>
      <c r="S61" s="174">
        <v>70.39</v>
      </c>
    </row>
    <row r="62" spans="1:19" s="21" customFormat="1" ht="25.5">
      <c r="A62" s="210">
        <v>14</v>
      </c>
      <c r="B62" s="211" t="s">
        <v>71</v>
      </c>
      <c r="C62" s="262"/>
      <c r="D62" s="251" t="s">
        <v>72</v>
      </c>
      <c r="E62" s="251" t="s">
        <v>72</v>
      </c>
      <c r="F62" s="251" t="s">
        <v>72</v>
      </c>
      <c r="G62" s="251" t="s">
        <v>72</v>
      </c>
      <c r="H62" s="251" t="s">
        <v>72</v>
      </c>
      <c r="I62" s="251" t="s">
        <v>72</v>
      </c>
      <c r="J62" s="251" t="s">
        <v>72</v>
      </c>
      <c r="K62" s="251" t="s">
        <v>72</v>
      </c>
      <c r="L62" s="251" t="s">
        <v>72</v>
      </c>
      <c r="M62" s="251" t="s">
        <v>72</v>
      </c>
      <c r="N62" s="251" t="s">
        <v>72</v>
      </c>
      <c r="O62" s="251" t="s">
        <v>72</v>
      </c>
      <c r="P62" s="251" t="s">
        <v>72</v>
      </c>
      <c r="Q62" s="63">
        <v>76.98</v>
      </c>
      <c r="R62" s="97">
        <v>76.98</v>
      </c>
      <c r="S62" s="20">
        <v>85.19</v>
      </c>
    </row>
    <row r="63" spans="1:19" s="15" customFormat="1" ht="25.5">
      <c r="A63" s="261">
        <v>15</v>
      </c>
      <c r="B63" s="211" t="s">
        <v>73</v>
      </c>
      <c r="C63" s="262"/>
      <c r="D63" s="263">
        <f t="shared" ref="D63:Q63" si="30">D15/D8*100</f>
        <v>76.119402985074629</v>
      </c>
      <c r="E63" s="263">
        <f t="shared" si="30"/>
        <v>67.721518987341767</v>
      </c>
      <c r="F63" s="263">
        <f t="shared" si="30"/>
        <v>59.76331360946746</v>
      </c>
      <c r="G63" s="263">
        <f t="shared" si="30"/>
        <v>77.41935483870968</v>
      </c>
      <c r="H63" s="263">
        <f t="shared" si="30"/>
        <v>73.015873015873012</v>
      </c>
      <c r="I63" s="263">
        <f t="shared" si="30"/>
        <v>69.73684210526315</v>
      </c>
      <c r="J63" s="263">
        <f t="shared" si="30"/>
        <v>79.047619047619051</v>
      </c>
      <c r="K63" s="263">
        <f t="shared" si="30"/>
        <v>69.565217391304344</v>
      </c>
      <c r="L63" s="263">
        <f t="shared" si="30"/>
        <v>81.132075471698116</v>
      </c>
      <c r="M63" s="263">
        <f t="shared" si="30"/>
        <v>59.848484848484851</v>
      </c>
      <c r="N63" s="263">
        <f t="shared" si="30"/>
        <v>65.671641791044777</v>
      </c>
      <c r="O63" s="263">
        <f t="shared" si="30"/>
        <v>67.1875</v>
      </c>
      <c r="P63" s="263">
        <f t="shared" si="30"/>
        <v>61.904761904761905</v>
      </c>
      <c r="Q63" s="90">
        <f t="shared" si="30"/>
        <v>69.405722670579607</v>
      </c>
      <c r="R63" s="100">
        <v>68.841642228739005</v>
      </c>
      <c r="S63" s="91">
        <v>65.84</v>
      </c>
    </row>
    <row r="64" spans="1:19" s="15" customFormat="1" ht="25.5">
      <c r="A64" s="261">
        <v>16</v>
      </c>
      <c r="B64" s="211" t="s">
        <v>74</v>
      </c>
      <c r="C64" s="262"/>
      <c r="D64" s="263">
        <f t="shared" ref="D64:Q64" si="31">SUM(D51/D15)</f>
        <v>190.43390259329539</v>
      </c>
      <c r="E64" s="263">
        <f t="shared" si="31"/>
        <v>192.16762134458847</v>
      </c>
      <c r="F64" s="263">
        <f t="shared" si="31"/>
        <v>179.84222293197064</v>
      </c>
      <c r="G64" s="263">
        <f t="shared" si="31"/>
        <v>180.70833333333334</v>
      </c>
      <c r="H64" s="263">
        <f t="shared" si="31"/>
        <v>227.51402524544179</v>
      </c>
      <c r="I64" s="263">
        <f t="shared" si="31"/>
        <v>204.41692026780282</v>
      </c>
      <c r="J64" s="263">
        <f t="shared" si="31"/>
        <v>188.62223085891955</v>
      </c>
      <c r="K64" s="263">
        <f t="shared" si="31"/>
        <v>239.35635080645162</v>
      </c>
      <c r="L64" s="263">
        <f t="shared" si="31"/>
        <v>282.27231807951989</v>
      </c>
      <c r="M64" s="263">
        <f t="shared" si="31"/>
        <v>228.61657819518172</v>
      </c>
      <c r="N64" s="263">
        <f t="shared" si="31"/>
        <v>191.41642228739002</v>
      </c>
      <c r="O64" s="263">
        <f t="shared" si="31"/>
        <v>214.71117779444859</v>
      </c>
      <c r="P64" s="263">
        <f t="shared" si="31"/>
        <v>204.4028122415219</v>
      </c>
      <c r="Q64" s="90">
        <f t="shared" si="31"/>
        <v>205.14072836390915</v>
      </c>
      <c r="R64" s="97">
        <v>212.98856940007099</v>
      </c>
      <c r="S64" s="91">
        <v>208.59</v>
      </c>
    </row>
    <row r="65" spans="1:19" s="21" customFormat="1" ht="25.5">
      <c r="A65" s="217">
        <v>17</v>
      </c>
      <c r="B65" s="207" t="s">
        <v>75</v>
      </c>
      <c r="C65" s="220"/>
      <c r="D65" s="272">
        <v>67686.483870967742</v>
      </c>
      <c r="E65" s="272">
        <v>90290.677419354834</v>
      </c>
      <c r="F65" s="272">
        <v>76226.419354838712</v>
      </c>
      <c r="G65" s="272">
        <v>120101.77419354839</v>
      </c>
      <c r="H65" s="272">
        <v>69546.645161290318</v>
      </c>
      <c r="I65" s="272">
        <v>47278.645161290326</v>
      </c>
      <c r="J65" s="272">
        <v>66775.548387096773</v>
      </c>
      <c r="K65" s="272">
        <v>79024.387096774197</v>
      </c>
      <c r="L65" s="272">
        <v>55428.677419354841</v>
      </c>
      <c r="M65" s="272">
        <v>51659.419354838712</v>
      </c>
      <c r="N65" s="272">
        <v>49003.290322580644</v>
      </c>
      <c r="O65" s="272">
        <v>35491.290322580644</v>
      </c>
      <c r="P65" s="272">
        <v>23760.709677419356</v>
      </c>
      <c r="Q65" s="45">
        <f>SUM(D65:P65)</f>
        <v>832273.96774193528</v>
      </c>
      <c r="R65" s="128">
        <v>817584.26666666672</v>
      </c>
      <c r="S65" s="46">
        <v>801840</v>
      </c>
    </row>
    <row r="66" spans="1:19" s="15" customFormat="1" ht="20.100000000000001" customHeight="1">
      <c r="A66" s="232"/>
      <c r="B66" s="224" t="s">
        <v>76</v>
      </c>
      <c r="C66" s="234"/>
      <c r="D66" s="238">
        <f t="shared" ref="D66:Q66" si="32">SUM(D65/D17)</f>
        <v>541.49187096774199</v>
      </c>
      <c r="E66" s="238">
        <f t="shared" si="32"/>
        <v>547.21622678396864</v>
      </c>
      <c r="F66" s="238">
        <f t="shared" si="32"/>
        <v>651.5078577336642</v>
      </c>
      <c r="G66" s="238">
        <f t="shared" si="32"/>
        <v>706.48102466793171</v>
      </c>
      <c r="H66" s="238">
        <f t="shared" si="32"/>
        <v>626.54635280441732</v>
      </c>
      <c r="I66" s="238">
        <f t="shared" si="32"/>
        <v>716.34310850439886</v>
      </c>
      <c r="J66" s="238">
        <f t="shared" si="32"/>
        <v>635.95760368663593</v>
      </c>
      <c r="K66" s="238">
        <f t="shared" si="32"/>
        <v>544.99577308120138</v>
      </c>
      <c r="L66" s="238">
        <f t="shared" si="32"/>
        <v>589.66678105696644</v>
      </c>
      <c r="M66" s="238">
        <f t="shared" si="32"/>
        <v>543.78336162988114</v>
      </c>
      <c r="N66" s="238">
        <f t="shared" si="32"/>
        <v>653.37720430107527</v>
      </c>
      <c r="O66" s="238">
        <f t="shared" si="32"/>
        <v>633.77304147465441</v>
      </c>
      <c r="P66" s="238">
        <f t="shared" si="32"/>
        <v>609.24896608767574</v>
      </c>
      <c r="Q66" s="59">
        <f t="shared" si="32"/>
        <v>610.61919863678304</v>
      </c>
      <c r="R66" s="187">
        <v>598.08651548402838</v>
      </c>
      <c r="S66" s="60">
        <v>573</v>
      </c>
    </row>
    <row r="67" spans="1:19" s="21" customFormat="1" ht="25.5">
      <c r="A67" s="217">
        <v>18</v>
      </c>
      <c r="B67" s="207" t="s">
        <v>77</v>
      </c>
      <c r="C67" s="220"/>
      <c r="D67" s="228" t="s">
        <v>72</v>
      </c>
      <c r="E67" s="228" t="s">
        <v>72</v>
      </c>
      <c r="F67" s="228" t="s">
        <v>72</v>
      </c>
      <c r="G67" s="228" t="s">
        <v>72</v>
      </c>
      <c r="H67" s="228" t="s">
        <v>72</v>
      </c>
      <c r="I67" s="228" t="s">
        <v>72</v>
      </c>
      <c r="J67" s="228" t="s">
        <v>72</v>
      </c>
      <c r="K67" s="228" t="s">
        <v>72</v>
      </c>
      <c r="L67" s="228" t="s">
        <v>72</v>
      </c>
      <c r="M67" s="228" t="s">
        <v>72</v>
      </c>
      <c r="N67" s="228" t="s">
        <v>72</v>
      </c>
      <c r="O67" s="228" t="s">
        <v>72</v>
      </c>
      <c r="P67" s="228" t="s">
        <v>72</v>
      </c>
      <c r="Q67" s="44">
        <v>684350</v>
      </c>
      <c r="R67" s="45">
        <v>483600</v>
      </c>
      <c r="S67" s="14">
        <v>562400</v>
      </c>
    </row>
    <row r="68" spans="1:19" s="15" customFormat="1" ht="20.100000000000001" customHeight="1">
      <c r="A68" s="206">
        <v>19</v>
      </c>
      <c r="B68" s="207" t="s">
        <v>78</v>
      </c>
      <c r="C68" s="220"/>
      <c r="D68" s="209" t="s">
        <v>72</v>
      </c>
      <c r="E68" s="209" t="s">
        <v>72</v>
      </c>
      <c r="F68" s="209" t="s">
        <v>72</v>
      </c>
      <c r="G68" s="209" t="s">
        <v>72</v>
      </c>
      <c r="H68" s="209" t="s">
        <v>72</v>
      </c>
      <c r="I68" s="209" t="s">
        <v>72</v>
      </c>
      <c r="J68" s="209" t="s">
        <v>72</v>
      </c>
      <c r="K68" s="209" t="s">
        <v>72</v>
      </c>
      <c r="L68" s="209" t="s">
        <v>72</v>
      </c>
      <c r="M68" s="209" t="s">
        <v>72</v>
      </c>
      <c r="N68" s="209" t="s">
        <v>72</v>
      </c>
      <c r="O68" s="209" t="s">
        <v>72</v>
      </c>
      <c r="P68" s="209" t="s">
        <v>72</v>
      </c>
      <c r="Q68" s="13">
        <v>0</v>
      </c>
      <c r="R68" s="37">
        <v>3</v>
      </c>
      <c r="S68" s="58">
        <v>2</v>
      </c>
    </row>
    <row r="69" spans="1:19" s="15" customFormat="1" ht="20.100000000000001" customHeight="1">
      <c r="A69" s="232"/>
      <c r="B69" s="224" t="s">
        <v>79</v>
      </c>
      <c r="C69" s="234"/>
      <c r="D69" s="273" t="s">
        <v>72</v>
      </c>
      <c r="E69" s="273" t="s">
        <v>72</v>
      </c>
      <c r="F69" s="273" t="s">
        <v>72</v>
      </c>
      <c r="G69" s="273" t="s">
        <v>72</v>
      </c>
      <c r="H69" s="273" t="s">
        <v>72</v>
      </c>
      <c r="I69" s="273" t="s">
        <v>72</v>
      </c>
      <c r="J69" s="273" t="s">
        <v>72</v>
      </c>
      <c r="K69" s="273" t="s">
        <v>72</v>
      </c>
      <c r="L69" s="273" t="s">
        <v>72</v>
      </c>
      <c r="M69" s="273" t="s">
        <v>72</v>
      </c>
      <c r="N69" s="273" t="s">
        <v>72</v>
      </c>
      <c r="O69" s="273" t="s">
        <v>72</v>
      </c>
      <c r="P69" s="273" t="s">
        <v>72</v>
      </c>
      <c r="Q69" s="105">
        <v>0</v>
      </c>
      <c r="R69" s="80">
        <v>63</v>
      </c>
      <c r="S69" s="106">
        <v>11</v>
      </c>
    </row>
    <row r="70" spans="1:19" s="15" customFormat="1" ht="32.25" customHeight="1">
      <c r="A70" s="206">
        <v>20</v>
      </c>
      <c r="B70" s="207" t="s">
        <v>80</v>
      </c>
      <c r="C70" s="220"/>
      <c r="D70" s="209" t="s">
        <v>72</v>
      </c>
      <c r="E70" s="209" t="s">
        <v>72</v>
      </c>
      <c r="F70" s="209" t="s">
        <v>72</v>
      </c>
      <c r="G70" s="209" t="s">
        <v>72</v>
      </c>
      <c r="H70" s="209" t="s">
        <v>72</v>
      </c>
      <c r="I70" s="209" t="s">
        <v>72</v>
      </c>
      <c r="J70" s="209" t="s">
        <v>72</v>
      </c>
      <c r="K70" s="209" t="s">
        <v>72</v>
      </c>
      <c r="L70" s="209" t="s">
        <v>72</v>
      </c>
      <c r="M70" s="209" t="s">
        <v>72</v>
      </c>
      <c r="N70" s="209" t="s">
        <v>72</v>
      </c>
      <c r="O70" s="209" t="s">
        <v>72</v>
      </c>
      <c r="P70" s="209" t="s">
        <v>72</v>
      </c>
      <c r="Q70" s="13">
        <v>31958</v>
      </c>
      <c r="R70" s="13">
        <v>9568</v>
      </c>
      <c r="S70" s="58">
        <v>31516</v>
      </c>
    </row>
    <row r="71" spans="1:19" s="21" customFormat="1" ht="31.5" customHeight="1">
      <c r="A71" s="210"/>
      <c r="B71" s="211" t="s">
        <v>177</v>
      </c>
      <c r="C71" s="262"/>
      <c r="D71" s="251" t="s">
        <v>72</v>
      </c>
      <c r="E71" s="251" t="s">
        <v>72</v>
      </c>
      <c r="F71" s="251" t="s">
        <v>72</v>
      </c>
      <c r="G71" s="251" t="s">
        <v>72</v>
      </c>
      <c r="H71" s="251" t="s">
        <v>72</v>
      </c>
      <c r="I71" s="251" t="s">
        <v>72</v>
      </c>
      <c r="J71" s="251" t="s">
        <v>72</v>
      </c>
      <c r="K71" s="251" t="s">
        <v>72</v>
      </c>
      <c r="L71" s="251" t="s">
        <v>72</v>
      </c>
      <c r="M71" s="251" t="s">
        <v>72</v>
      </c>
      <c r="N71" s="251" t="s">
        <v>72</v>
      </c>
      <c r="O71" s="251" t="s">
        <v>72</v>
      </c>
      <c r="P71" s="251" t="s">
        <v>72</v>
      </c>
      <c r="Q71" s="63">
        <v>21721450</v>
      </c>
      <c r="R71" s="19">
        <v>6555450</v>
      </c>
      <c r="S71" s="20">
        <v>22506150</v>
      </c>
    </row>
    <row r="72" spans="1:19" s="21" customFormat="1" ht="30" customHeight="1">
      <c r="A72" s="223"/>
      <c r="B72" s="224" t="s">
        <v>82</v>
      </c>
      <c r="C72" s="234"/>
      <c r="D72" s="255" t="s">
        <v>72</v>
      </c>
      <c r="E72" s="255" t="s">
        <v>72</v>
      </c>
      <c r="F72" s="255" t="s">
        <v>72</v>
      </c>
      <c r="G72" s="255" t="s">
        <v>72</v>
      </c>
      <c r="H72" s="255" t="s">
        <v>72</v>
      </c>
      <c r="I72" s="255" t="s">
        <v>72</v>
      </c>
      <c r="J72" s="255" t="s">
        <v>72</v>
      </c>
      <c r="K72" s="255" t="s">
        <v>72</v>
      </c>
      <c r="L72" s="255" t="s">
        <v>72</v>
      </c>
      <c r="M72" s="255" t="s">
        <v>72</v>
      </c>
      <c r="N72" s="255" t="s">
        <v>72</v>
      </c>
      <c r="O72" s="255" t="s">
        <v>72</v>
      </c>
      <c r="P72" s="255" t="s">
        <v>72</v>
      </c>
      <c r="Q72" s="107">
        <f>SUM(Q71/Q34)</f>
        <v>2.5445429289154644</v>
      </c>
      <c r="R72" s="42">
        <v>0.76110642765114767</v>
      </c>
      <c r="S72" s="108">
        <v>2.56</v>
      </c>
    </row>
    <row r="73" spans="1:19" s="21" customFormat="1" ht="19.5" customHeight="1">
      <c r="A73" s="217">
        <v>21</v>
      </c>
      <c r="B73" s="207" t="s">
        <v>83</v>
      </c>
      <c r="C73" s="220"/>
      <c r="D73" s="228" t="s">
        <v>72</v>
      </c>
      <c r="E73" s="228" t="s">
        <v>72</v>
      </c>
      <c r="F73" s="228" t="s">
        <v>72</v>
      </c>
      <c r="G73" s="228" t="s">
        <v>72</v>
      </c>
      <c r="H73" s="228" t="s">
        <v>72</v>
      </c>
      <c r="I73" s="228" t="s">
        <v>72</v>
      </c>
      <c r="J73" s="228" t="s">
        <v>72</v>
      </c>
      <c r="K73" s="228" t="s">
        <v>72</v>
      </c>
      <c r="L73" s="228" t="s">
        <v>72</v>
      </c>
      <c r="M73" s="228" t="s">
        <v>72</v>
      </c>
      <c r="N73" s="228" t="s">
        <v>72</v>
      </c>
      <c r="O73" s="228" t="s">
        <v>72</v>
      </c>
      <c r="P73" s="228" t="s">
        <v>72</v>
      </c>
      <c r="Q73" s="44">
        <f>SUM(C74:C80)</f>
        <v>554311</v>
      </c>
      <c r="R73" s="44">
        <v>545086</v>
      </c>
      <c r="S73" s="14">
        <v>540748</v>
      </c>
    </row>
    <row r="74" spans="1:19" ht="27.75" customHeight="1">
      <c r="A74" s="210"/>
      <c r="B74" s="211" t="s">
        <v>84</v>
      </c>
      <c r="C74" s="262">
        <v>116747</v>
      </c>
      <c r="D74" s="251" t="s">
        <v>72</v>
      </c>
      <c r="E74" s="251" t="s">
        <v>72</v>
      </c>
      <c r="F74" s="251" t="s">
        <v>72</v>
      </c>
      <c r="G74" s="251" t="s">
        <v>72</v>
      </c>
      <c r="H74" s="251" t="s">
        <v>72</v>
      </c>
      <c r="I74" s="251" t="s">
        <v>72</v>
      </c>
      <c r="J74" s="251" t="s">
        <v>72</v>
      </c>
      <c r="K74" s="251" t="s">
        <v>72</v>
      </c>
      <c r="L74" s="251" t="s">
        <v>72</v>
      </c>
      <c r="M74" s="251" t="s">
        <v>72</v>
      </c>
      <c r="N74" s="251" t="s">
        <v>72</v>
      </c>
      <c r="O74" s="251" t="s">
        <v>72</v>
      </c>
      <c r="P74" s="251" t="s">
        <v>72</v>
      </c>
      <c r="Q74" s="63" t="s">
        <v>72</v>
      </c>
      <c r="R74" s="97" t="s">
        <v>72</v>
      </c>
      <c r="S74" s="98" t="s">
        <v>72</v>
      </c>
    </row>
    <row r="75" spans="1:19">
      <c r="A75" s="210"/>
      <c r="B75" s="211" t="s">
        <v>85</v>
      </c>
      <c r="C75" s="262">
        <v>405967</v>
      </c>
      <c r="D75" s="251" t="s">
        <v>72</v>
      </c>
      <c r="E75" s="251" t="s">
        <v>72</v>
      </c>
      <c r="F75" s="251" t="s">
        <v>72</v>
      </c>
      <c r="G75" s="251" t="s">
        <v>72</v>
      </c>
      <c r="H75" s="251" t="s">
        <v>72</v>
      </c>
      <c r="I75" s="251" t="s">
        <v>72</v>
      </c>
      <c r="J75" s="251" t="s">
        <v>72</v>
      </c>
      <c r="K75" s="251" t="s">
        <v>72</v>
      </c>
      <c r="L75" s="251" t="s">
        <v>72</v>
      </c>
      <c r="M75" s="251" t="s">
        <v>72</v>
      </c>
      <c r="N75" s="251" t="s">
        <v>72</v>
      </c>
      <c r="O75" s="251" t="s">
        <v>72</v>
      </c>
      <c r="P75" s="251" t="s">
        <v>72</v>
      </c>
      <c r="Q75" s="63" t="s">
        <v>72</v>
      </c>
      <c r="R75" s="44" t="s">
        <v>72</v>
      </c>
      <c r="S75" s="14" t="s">
        <v>72</v>
      </c>
    </row>
    <row r="76" spans="1:19" ht="25.5">
      <c r="A76" s="210"/>
      <c r="B76" s="211" t="s">
        <v>86</v>
      </c>
      <c r="C76" s="262">
        <v>9016</v>
      </c>
      <c r="D76" s="251" t="s">
        <v>72</v>
      </c>
      <c r="E76" s="251" t="s">
        <v>72</v>
      </c>
      <c r="F76" s="251" t="s">
        <v>72</v>
      </c>
      <c r="G76" s="251" t="s">
        <v>72</v>
      </c>
      <c r="H76" s="251" t="s">
        <v>72</v>
      </c>
      <c r="I76" s="251" t="s">
        <v>72</v>
      </c>
      <c r="J76" s="251" t="s">
        <v>72</v>
      </c>
      <c r="K76" s="251" t="s">
        <v>72</v>
      </c>
      <c r="L76" s="251" t="s">
        <v>72</v>
      </c>
      <c r="M76" s="251" t="s">
        <v>72</v>
      </c>
      <c r="N76" s="251" t="s">
        <v>72</v>
      </c>
      <c r="O76" s="251" t="s">
        <v>72</v>
      </c>
      <c r="P76" s="251" t="s">
        <v>72</v>
      </c>
      <c r="Q76" s="63" t="s">
        <v>72</v>
      </c>
      <c r="R76" s="63" t="s">
        <v>72</v>
      </c>
      <c r="S76" s="20" t="s">
        <v>72</v>
      </c>
    </row>
    <row r="77" spans="1:19" ht="18.75" customHeight="1">
      <c r="A77" s="210"/>
      <c r="B77" s="231" t="s">
        <v>87</v>
      </c>
      <c r="C77" s="262">
        <v>1445</v>
      </c>
      <c r="D77" s="251" t="s">
        <v>72</v>
      </c>
      <c r="E77" s="251" t="s">
        <v>72</v>
      </c>
      <c r="F77" s="251" t="s">
        <v>72</v>
      </c>
      <c r="G77" s="251" t="s">
        <v>72</v>
      </c>
      <c r="H77" s="251" t="s">
        <v>72</v>
      </c>
      <c r="I77" s="251" t="s">
        <v>72</v>
      </c>
      <c r="J77" s="251" t="s">
        <v>72</v>
      </c>
      <c r="K77" s="251" t="s">
        <v>72</v>
      </c>
      <c r="L77" s="251" t="s">
        <v>72</v>
      </c>
      <c r="M77" s="251" t="s">
        <v>72</v>
      </c>
      <c r="N77" s="251" t="s">
        <v>72</v>
      </c>
      <c r="O77" s="251" t="s">
        <v>72</v>
      </c>
      <c r="P77" s="251" t="s">
        <v>72</v>
      </c>
      <c r="Q77" s="63" t="s">
        <v>72</v>
      </c>
      <c r="R77" s="63" t="s">
        <v>72</v>
      </c>
      <c r="S77" s="20" t="s">
        <v>72</v>
      </c>
    </row>
    <row r="78" spans="1:19" ht="25.5">
      <c r="A78" s="217"/>
      <c r="B78" s="207" t="s">
        <v>88</v>
      </c>
      <c r="C78" s="262">
        <v>15965</v>
      </c>
      <c r="D78" s="228" t="s">
        <v>72</v>
      </c>
      <c r="E78" s="228" t="s">
        <v>72</v>
      </c>
      <c r="F78" s="228" t="s">
        <v>72</v>
      </c>
      <c r="G78" s="228" t="s">
        <v>72</v>
      </c>
      <c r="H78" s="228" t="s">
        <v>72</v>
      </c>
      <c r="I78" s="228" t="s">
        <v>72</v>
      </c>
      <c r="J78" s="228" t="s">
        <v>72</v>
      </c>
      <c r="K78" s="228" t="s">
        <v>72</v>
      </c>
      <c r="L78" s="228" t="s">
        <v>72</v>
      </c>
      <c r="M78" s="228" t="s">
        <v>72</v>
      </c>
      <c r="N78" s="228" t="s">
        <v>72</v>
      </c>
      <c r="O78" s="228" t="s">
        <v>72</v>
      </c>
      <c r="P78" s="228" t="s">
        <v>72</v>
      </c>
      <c r="Q78" s="44" t="s">
        <v>72</v>
      </c>
      <c r="R78" s="63" t="s">
        <v>72</v>
      </c>
      <c r="S78" s="20" t="s">
        <v>72</v>
      </c>
    </row>
    <row r="79" spans="1:19" ht="18.75" customHeight="1">
      <c r="A79" s="217"/>
      <c r="B79" s="207" t="s">
        <v>89</v>
      </c>
      <c r="C79" s="262">
        <v>846</v>
      </c>
      <c r="D79" s="228" t="s">
        <v>72</v>
      </c>
      <c r="E79" s="228" t="s">
        <v>72</v>
      </c>
      <c r="F79" s="228" t="s">
        <v>72</v>
      </c>
      <c r="G79" s="228" t="s">
        <v>72</v>
      </c>
      <c r="H79" s="228" t="s">
        <v>72</v>
      </c>
      <c r="I79" s="228" t="s">
        <v>72</v>
      </c>
      <c r="J79" s="228" t="s">
        <v>72</v>
      </c>
      <c r="K79" s="228" t="s">
        <v>72</v>
      </c>
      <c r="L79" s="228" t="s">
        <v>72</v>
      </c>
      <c r="M79" s="228" t="s">
        <v>72</v>
      </c>
      <c r="N79" s="228" t="s">
        <v>72</v>
      </c>
      <c r="O79" s="228" t="s">
        <v>72</v>
      </c>
      <c r="P79" s="228" t="s">
        <v>72</v>
      </c>
      <c r="Q79" s="44" t="s">
        <v>72</v>
      </c>
      <c r="R79" s="63" t="s">
        <v>72</v>
      </c>
      <c r="S79" s="20" t="s">
        <v>72</v>
      </c>
    </row>
    <row r="80" spans="1:19" ht="14.25" customHeight="1">
      <c r="A80" s="217"/>
      <c r="B80" s="207" t="s">
        <v>90</v>
      </c>
      <c r="C80" s="262">
        <v>4325</v>
      </c>
      <c r="D80" s="228" t="s">
        <v>72</v>
      </c>
      <c r="E80" s="228" t="s">
        <v>72</v>
      </c>
      <c r="F80" s="228" t="s">
        <v>72</v>
      </c>
      <c r="G80" s="228" t="s">
        <v>72</v>
      </c>
      <c r="H80" s="228" t="s">
        <v>72</v>
      </c>
      <c r="I80" s="228" t="s">
        <v>72</v>
      </c>
      <c r="J80" s="228" t="s">
        <v>72</v>
      </c>
      <c r="K80" s="228" t="s">
        <v>72</v>
      </c>
      <c r="L80" s="228" t="s">
        <v>72</v>
      </c>
      <c r="M80" s="228" t="s">
        <v>72</v>
      </c>
      <c r="N80" s="228" t="s">
        <v>72</v>
      </c>
      <c r="O80" s="228" t="s">
        <v>72</v>
      </c>
      <c r="P80" s="228" t="s">
        <v>72</v>
      </c>
      <c r="Q80" s="44" t="s">
        <v>72</v>
      </c>
      <c r="R80" s="63"/>
      <c r="S80" s="20"/>
    </row>
    <row r="81" spans="1:19" s="21" customFormat="1" ht="30" customHeight="1">
      <c r="A81" s="210"/>
      <c r="B81" s="211" t="s">
        <v>91</v>
      </c>
      <c r="C81" s="274"/>
      <c r="D81" s="251" t="s">
        <v>72</v>
      </c>
      <c r="E81" s="251" t="s">
        <v>72</v>
      </c>
      <c r="F81" s="251" t="s">
        <v>72</v>
      </c>
      <c r="G81" s="251" t="s">
        <v>72</v>
      </c>
      <c r="H81" s="251" t="s">
        <v>72</v>
      </c>
      <c r="I81" s="251" t="s">
        <v>72</v>
      </c>
      <c r="J81" s="251" t="s">
        <v>72</v>
      </c>
      <c r="K81" s="251" t="s">
        <v>72</v>
      </c>
      <c r="L81" s="251" t="s">
        <v>72</v>
      </c>
      <c r="M81" s="251" t="s">
        <v>72</v>
      </c>
      <c r="N81" s="251" t="s">
        <v>72</v>
      </c>
      <c r="O81" s="251" t="s">
        <v>72</v>
      </c>
      <c r="P81" s="251" t="s">
        <v>72</v>
      </c>
      <c r="Q81" s="45">
        <v>64361150</v>
      </c>
      <c r="R81" s="63">
        <v>61619300</v>
      </c>
      <c r="S81" s="46">
        <v>63668610</v>
      </c>
    </row>
    <row r="82" spans="1:19" s="21" customFormat="1" ht="33.75" customHeight="1" thickBot="1">
      <c r="A82" s="264"/>
      <c r="B82" s="265" t="s">
        <v>92</v>
      </c>
      <c r="C82" s="275"/>
      <c r="D82" s="276" t="s">
        <v>72</v>
      </c>
      <c r="E82" s="276" t="s">
        <v>72</v>
      </c>
      <c r="F82" s="276" t="s">
        <v>72</v>
      </c>
      <c r="G82" s="276" t="s">
        <v>72</v>
      </c>
      <c r="H82" s="276" t="s">
        <v>72</v>
      </c>
      <c r="I82" s="276" t="s">
        <v>72</v>
      </c>
      <c r="J82" s="276" t="s">
        <v>72</v>
      </c>
      <c r="K82" s="276" t="s">
        <v>72</v>
      </c>
      <c r="L82" s="276" t="s">
        <v>72</v>
      </c>
      <c r="M82" s="276" t="s">
        <v>72</v>
      </c>
      <c r="N82" s="276" t="s">
        <v>72</v>
      </c>
      <c r="O82" s="276" t="s">
        <v>72</v>
      </c>
      <c r="P82" s="276" t="s">
        <v>72</v>
      </c>
      <c r="Q82" s="73">
        <f>SUM(Q81/Q34)</f>
        <v>7.5395385266346189</v>
      </c>
      <c r="R82" s="73">
        <v>7.1541763414204</v>
      </c>
      <c r="S82" s="74">
        <v>7.25</v>
      </c>
    </row>
    <row r="83" spans="1:19" s="21" customFormat="1" ht="15" thickTop="1">
      <c r="A83" s="217" t="s">
        <v>93</v>
      </c>
      <c r="B83" s="207" t="s">
        <v>94</v>
      </c>
      <c r="C83" s="277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127"/>
      <c r="R83" s="45"/>
      <c r="S83" s="178"/>
    </row>
    <row r="84" spans="1:19" s="21" customFormat="1" ht="18" customHeight="1">
      <c r="A84" s="210"/>
      <c r="B84" s="211" t="s">
        <v>95</v>
      </c>
      <c r="C84" s="278"/>
      <c r="D84" s="251" t="s">
        <v>72</v>
      </c>
      <c r="E84" s="251" t="s">
        <v>72</v>
      </c>
      <c r="F84" s="251" t="s">
        <v>72</v>
      </c>
      <c r="G84" s="251" t="s">
        <v>72</v>
      </c>
      <c r="H84" s="251" t="s">
        <v>72</v>
      </c>
      <c r="I84" s="251" t="s">
        <v>72</v>
      </c>
      <c r="J84" s="251" t="s">
        <v>72</v>
      </c>
      <c r="K84" s="251" t="s">
        <v>72</v>
      </c>
      <c r="L84" s="251" t="s">
        <v>72</v>
      </c>
      <c r="M84" s="251" t="s">
        <v>72</v>
      </c>
      <c r="N84" s="251" t="s">
        <v>72</v>
      </c>
      <c r="O84" s="251" t="s">
        <v>72</v>
      </c>
      <c r="P84" s="251" t="s">
        <v>72</v>
      </c>
      <c r="Q84" s="63">
        <v>0</v>
      </c>
      <c r="R84" s="37">
        <v>0</v>
      </c>
      <c r="S84" s="20">
        <v>1</v>
      </c>
    </row>
    <row r="85" spans="1:19" s="21" customFormat="1" ht="18" customHeight="1">
      <c r="A85" s="210"/>
      <c r="B85" s="211" t="s">
        <v>96</v>
      </c>
      <c r="C85" s="278"/>
      <c r="D85" s="251" t="s">
        <v>72</v>
      </c>
      <c r="E85" s="251" t="s">
        <v>72</v>
      </c>
      <c r="F85" s="251" t="s">
        <v>72</v>
      </c>
      <c r="G85" s="251" t="s">
        <v>72</v>
      </c>
      <c r="H85" s="251" t="s">
        <v>72</v>
      </c>
      <c r="I85" s="251" t="s">
        <v>72</v>
      </c>
      <c r="J85" s="251" t="s">
        <v>72</v>
      </c>
      <c r="K85" s="251" t="s">
        <v>72</v>
      </c>
      <c r="L85" s="251" t="s">
        <v>72</v>
      </c>
      <c r="M85" s="251" t="s">
        <v>72</v>
      </c>
      <c r="N85" s="251" t="s">
        <v>72</v>
      </c>
      <c r="O85" s="251" t="s">
        <v>72</v>
      </c>
      <c r="P85" s="251" t="s">
        <v>72</v>
      </c>
      <c r="Q85" s="63">
        <v>2</v>
      </c>
      <c r="R85" s="127">
        <v>0</v>
      </c>
      <c r="S85" s="20">
        <v>0</v>
      </c>
    </row>
    <row r="86" spans="1:19" s="21" customFormat="1" ht="18" customHeight="1">
      <c r="A86" s="210"/>
      <c r="B86" s="211" t="s">
        <v>97</v>
      </c>
      <c r="C86" s="278"/>
      <c r="D86" s="251" t="s">
        <v>72</v>
      </c>
      <c r="E86" s="251" t="s">
        <v>72</v>
      </c>
      <c r="F86" s="251" t="s">
        <v>72</v>
      </c>
      <c r="G86" s="251" t="s">
        <v>72</v>
      </c>
      <c r="H86" s="251" t="s">
        <v>72</v>
      </c>
      <c r="I86" s="251" t="s">
        <v>72</v>
      </c>
      <c r="J86" s="251" t="s">
        <v>72</v>
      </c>
      <c r="K86" s="251" t="s">
        <v>72</v>
      </c>
      <c r="L86" s="251" t="s">
        <v>72</v>
      </c>
      <c r="M86" s="251" t="s">
        <v>72</v>
      </c>
      <c r="N86" s="251" t="s">
        <v>72</v>
      </c>
      <c r="O86" s="251" t="s">
        <v>72</v>
      </c>
      <c r="P86" s="251" t="s">
        <v>72</v>
      </c>
      <c r="Q86" s="63">
        <v>1</v>
      </c>
      <c r="R86" s="63">
        <v>1</v>
      </c>
      <c r="S86" s="20">
        <v>6</v>
      </c>
    </row>
    <row r="87" spans="1:19" s="21" customFormat="1" ht="18" customHeight="1">
      <c r="A87" s="210"/>
      <c r="B87" s="211" t="s">
        <v>98</v>
      </c>
      <c r="C87" s="278"/>
      <c r="D87" s="251" t="s">
        <v>72</v>
      </c>
      <c r="E87" s="251" t="s">
        <v>72</v>
      </c>
      <c r="F87" s="251" t="s">
        <v>72</v>
      </c>
      <c r="G87" s="251" t="s">
        <v>72</v>
      </c>
      <c r="H87" s="251" t="s">
        <v>72</v>
      </c>
      <c r="I87" s="251" t="s">
        <v>72</v>
      </c>
      <c r="J87" s="251" t="s">
        <v>72</v>
      </c>
      <c r="K87" s="251" t="s">
        <v>72</v>
      </c>
      <c r="L87" s="251" t="s">
        <v>72</v>
      </c>
      <c r="M87" s="251" t="s">
        <v>72</v>
      </c>
      <c r="N87" s="251" t="s">
        <v>72</v>
      </c>
      <c r="O87" s="251" t="s">
        <v>72</v>
      </c>
      <c r="P87" s="251" t="s">
        <v>72</v>
      </c>
      <c r="Q87" s="63">
        <v>1</v>
      </c>
      <c r="R87" s="63">
        <v>5</v>
      </c>
      <c r="S87" s="20">
        <v>5</v>
      </c>
    </row>
    <row r="88" spans="1:19" s="21" customFormat="1" ht="18" customHeight="1">
      <c r="A88" s="210"/>
      <c r="B88" s="211" t="s">
        <v>99</v>
      </c>
      <c r="C88" s="278"/>
      <c r="D88" s="251" t="s">
        <v>72</v>
      </c>
      <c r="E88" s="251" t="s">
        <v>72</v>
      </c>
      <c r="F88" s="251" t="s">
        <v>72</v>
      </c>
      <c r="G88" s="251" t="s">
        <v>72</v>
      </c>
      <c r="H88" s="251" t="s">
        <v>72</v>
      </c>
      <c r="I88" s="251" t="s">
        <v>72</v>
      </c>
      <c r="J88" s="251" t="s">
        <v>72</v>
      </c>
      <c r="K88" s="251" t="s">
        <v>72</v>
      </c>
      <c r="L88" s="251" t="s">
        <v>72</v>
      </c>
      <c r="M88" s="251" t="s">
        <v>72</v>
      </c>
      <c r="N88" s="251" t="s">
        <v>72</v>
      </c>
      <c r="O88" s="251" t="s">
        <v>72</v>
      </c>
      <c r="P88" s="251" t="s">
        <v>72</v>
      </c>
      <c r="Q88" s="63">
        <f>SUM(Q84:Q87)</f>
        <v>4</v>
      </c>
      <c r="R88" s="63">
        <v>6</v>
      </c>
      <c r="S88" s="20">
        <v>12</v>
      </c>
    </row>
    <row r="89" spans="1:19" s="21" customFormat="1" ht="25.5">
      <c r="A89" s="223"/>
      <c r="B89" s="224" t="s">
        <v>100</v>
      </c>
      <c r="C89" s="279"/>
      <c r="D89" s="255" t="s">
        <v>72</v>
      </c>
      <c r="E89" s="255" t="s">
        <v>72</v>
      </c>
      <c r="F89" s="255" t="s">
        <v>72</v>
      </c>
      <c r="G89" s="255" t="s">
        <v>72</v>
      </c>
      <c r="H89" s="255" t="s">
        <v>72</v>
      </c>
      <c r="I89" s="255" t="s">
        <v>72</v>
      </c>
      <c r="J89" s="255" t="s">
        <v>72</v>
      </c>
      <c r="K89" s="255" t="s">
        <v>72</v>
      </c>
      <c r="L89" s="255" t="s">
        <v>72</v>
      </c>
      <c r="M89" s="255" t="s">
        <v>72</v>
      </c>
      <c r="N89" s="255" t="s">
        <v>72</v>
      </c>
      <c r="O89" s="255" t="s">
        <v>72</v>
      </c>
      <c r="P89" s="255" t="s">
        <v>72</v>
      </c>
      <c r="Q89" s="107">
        <f>Q88/Q48*100000</f>
        <v>6.6489836945310604E-2</v>
      </c>
      <c r="R89" s="107">
        <v>0.10000186670151176</v>
      </c>
      <c r="S89" s="108">
        <v>0.2</v>
      </c>
    </row>
    <row r="90" spans="1:19" s="21" customFormat="1">
      <c r="A90" s="280" t="s">
        <v>19</v>
      </c>
      <c r="B90" s="207" t="s">
        <v>101</v>
      </c>
      <c r="C90" s="281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121"/>
      <c r="R90" s="44"/>
      <c r="S90" s="134"/>
    </row>
    <row r="91" spans="1:19" s="21" customFormat="1" ht="18" customHeight="1">
      <c r="A91" s="280"/>
      <c r="B91" s="211" t="s">
        <v>95</v>
      </c>
      <c r="C91" s="278"/>
      <c r="D91" s="251" t="s">
        <v>72</v>
      </c>
      <c r="E91" s="251" t="s">
        <v>72</v>
      </c>
      <c r="F91" s="251" t="s">
        <v>72</v>
      </c>
      <c r="G91" s="251" t="s">
        <v>72</v>
      </c>
      <c r="H91" s="251" t="s">
        <v>72</v>
      </c>
      <c r="I91" s="251" t="s">
        <v>72</v>
      </c>
      <c r="J91" s="251" t="s">
        <v>72</v>
      </c>
      <c r="K91" s="251" t="s">
        <v>72</v>
      </c>
      <c r="L91" s="251" t="s">
        <v>72</v>
      </c>
      <c r="M91" s="251" t="s">
        <v>72</v>
      </c>
      <c r="N91" s="251" t="s">
        <v>72</v>
      </c>
      <c r="O91" s="251" t="s">
        <v>72</v>
      </c>
      <c r="P91" s="251" t="s">
        <v>72</v>
      </c>
      <c r="Q91" s="63">
        <v>0</v>
      </c>
      <c r="R91" s="37">
        <v>0</v>
      </c>
      <c r="S91" s="20">
        <v>0</v>
      </c>
    </row>
    <row r="92" spans="1:19" s="21" customFormat="1" ht="18" customHeight="1">
      <c r="A92" s="280"/>
      <c r="B92" s="211" t="s">
        <v>96</v>
      </c>
      <c r="C92" s="278"/>
      <c r="D92" s="251" t="s">
        <v>72</v>
      </c>
      <c r="E92" s="251" t="s">
        <v>72</v>
      </c>
      <c r="F92" s="251" t="s">
        <v>72</v>
      </c>
      <c r="G92" s="251" t="s">
        <v>72</v>
      </c>
      <c r="H92" s="251" t="s">
        <v>72</v>
      </c>
      <c r="I92" s="251" t="s">
        <v>72</v>
      </c>
      <c r="J92" s="251" t="s">
        <v>72</v>
      </c>
      <c r="K92" s="251" t="s">
        <v>72</v>
      </c>
      <c r="L92" s="251" t="s">
        <v>72</v>
      </c>
      <c r="M92" s="251" t="s">
        <v>72</v>
      </c>
      <c r="N92" s="251" t="s">
        <v>72</v>
      </c>
      <c r="O92" s="251" t="s">
        <v>72</v>
      </c>
      <c r="P92" s="251" t="s">
        <v>72</v>
      </c>
      <c r="Q92" s="63">
        <v>3</v>
      </c>
      <c r="R92" s="169">
        <v>1</v>
      </c>
      <c r="S92" s="20">
        <v>3</v>
      </c>
    </row>
    <row r="93" spans="1:19" s="21" customFormat="1" ht="18" customHeight="1">
      <c r="A93" s="280"/>
      <c r="B93" s="211" t="s">
        <v>97</v>
      </c>
      <c r="C93" s="278"/>
      <c r="D93" s="251" t="s">
        <v>72</v>
      </c>
      <c r="E93" s="251" t="s">
        <v>72</v>
      </c>
      <c r="F93" s="251" t="s">
        <v>72</v>
      </c>
      <c r="G93" s="251" t="s">
        <v>72</v>
      </c>
      <c r="H93" s="251" t="s">
        <v>72</v>
      </c>
      <c r="I93" s="251" t="s">
        <v>72</v>
      </c>
      <c r="J93" s="251" t="s">
        <v>72</v>
      </c>
      <c r="K93" s="251" t="s">
        <v>72</v>
      </c>
      <c r="L93" s="251" t="s">
        <v>72</v>
      </c>
      <c r="M93" s="251" t="s">
        <v>72</v>
      </c>
      <c r="N93" s="251" t="s">
        <v>72</v>
      </c>
      <c r="O93" s="251" t="s">
        <v>72</v>
      </c>
      <c r="P93" s="251" t="s">
        <v>72</v>
      </c>
      <c r="Q93" s="63">
        <v>0</v>
      </c>
      <c r="R93" s="63">
        <v>2</v>
      </c>
      <c r="S93" s="20">
        <v>1</v>
      </c>
    </row>
    <row r="94" spans="1:19" s="21" customFormat="1" ht="18" customHeight="1">
      <c r="A94" s="280"/>
      <c r="B94" s="211" t="s">
        <v>98</v>
      </c>
      <c r="C94" s="278"/>
      <c r="D94" s="251" t="s">
        <v>72</v>
      </c>
      <c r="E94" s="251" t="s">
        <v>72</v>
      </c>
      <c r="F94" s="251" t="s">
        <v>72</v>
      </c>
      <c r="G94" s="251" t="s">
        <v>72</v>
      </c>
      <c r="H94" s="251" t="s">
        <v>72</v>
      </c>
      <c r="I94" s="251" t="s">
        <v>72</v>
      </c>
      <c r="J94" s="251" t="s">
        <v>72</v>
      </c>
      <c r="K94" s="251" t="s">
        <v>72</v>
      </c>
      <c r="L94" s="251" t="s">
        <v>72</v>
      </c>
      <c r="M94" s="251" t="s">
        <v>72</v>
      </c>
      <c r="N94" s="251" t="s">
        <v>72</v>
      </c>
      <c r="O94" s="251" t="s">
        <v>72</v>
      </c>
      <c r="P94" s="251" t="s">
        <v>72</v>
      </c>
      <c r="Q94" s="63">
        <v>1</v>
      </c>
      <c r="R94" s="63">
        <v>1</v>
      </c>
      <c r="S94" s="20">
        <v>2</v>
      </c>
    </row>
    <row r="95" spans="1:19" s="21" customFormat="1" ht="18" customHeight="1">
      <c r="A95" s="280"/>
      <c r="B95" s="253" t="s">
        <v>99</v>
      </c>
      <c r="C95" s="283"/>
      <c r="D95" s="284" t="s">
        <v>72</v>
      </c>
      <c r="E95" s="284" t="s">
        <v>72</v>
      </c>
      <c r="F95" s="284" t="s">
        <v>72</v>
      </c>
      <c r="G95" s="284" t="s">
        <v>72</v>
      </c>
      <c r="H95" s="284" t="s">
        <v>72</v>
      </c>
      <c r="I95" s="284" t="s">
        <v>72</v>
      </c>
      <c r="J95" s="284" t="s">
        <v>72</v>
      </c>
      <c r="K95" s="284" t="s">
        <v>72</v>
      </c>
      <c r="L95" s="284" t="s">
        <v>72</v>
      </c>
      <c r="M95" s="284" t="s">
        <v>72</v>
      </c>
      <c r="N95" s="284" t="s">
        <v>72</v>
      </c>
      <c r="O95" s="284" t="s">
        <v>72</v>
      </c>
      <c r="P95" s="284" t="s">
        <v>72</v>
      </c>
      <c r="Q95" s="111">
        <f>SUM(Q91:Q94)</f>
        <v>4</v>
      </c>
      <c r="R95" s="63">
        <v>4</v>
      </c>
      <c r="S95" s="177">
        <v>6</v>
      </c>
    </row>
    <row r="96" spans="1:19" s="21" customFormat="1" ht="26.25" thickBot="1">
      <c r="A96" s="264"/>
      <c r="B96" s="265" t="s">
        <v>100</v>
      </c>
      <c r="C96" s="285"/>
      <c r="D96" s="276" t="s">
        <v>72</v>
      </c>
      <c r="E96" s="276" t="s">
        <v>72</v>
      </c>
      <c r="F96" s="276" t="s">
        <v>72</v>
      </c>
      <c r="G96" s="276" t="s">
        <v>72</v>
      </c>
      <c r="H96" s="276" t="s">
        <v>72</v>
      </c>
      <c r="I96" s="276" t="s">
        <v>72</v>
      </c>
      <c r="J96" s="276" t="s">
        <v>72</v>
      </c>
      <c r="K96" s="276" t="s">
        <v>72</v>
      </c>
      <c r="L96" s="276" t="s">
        <v>72</v>
      </c>
      <c r="M96" s="276" t="s">
        <v>72</v>
      </c>
      <c r="N96" s="276" t="s">
        <v>72</v>
      </c>
      <c r="O96" s="276" t="s">
        <v>72</v>
      </c>
      <c r="P96" s="276" t="s">
        <v>72</v>
      </c>
      <c r="Q96" s="73">
        <f>Q95/Q33*100000</f>
        <v>0.14597826237694944</v>
      </c>
      <c r="R96" s="73">
        <v>0.14178559819875575</v>
      </c>
      <c r="S96" s="74">
        <v>0.21</v>
      </c>
    </row>
    <row r="97" spans="1:19" s="21" customFormat="1" ht="12" customHeight="1" thickTop="1">
      <c r="A97" s="217"/>
      <c r="B97" s="286" t="s">
        <v>102</v>
      </c>
      <c r="C97" s="287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127"/>
      <c r="R97" s="120"/>
      <c r="S97" s="178"/>
    </row>
    <row r="98" spans="1:19" s="21" customFormat="1" ht="16.5" customHeight="1">
      <c r="A98" s="210">
        <v>23</v>
      </c>
      <c r="B98" s="211" t="s">
        <v>103</v>
      </c>
      <c r="C98" s="288"/>
      <c r="D98" s="209">
        <v>141</v>
      </c>
      <c r="E98" s="209">
        <v>99</v>
      </c>
      <c r="F98" s="209">
        <v>139</v>
      </c>
      <c r="G98" s="209">
        <v>78</v>
      </c>
      <c r="H98" s="209">
        <v>90</v>
      </c>
      <c r="I98" s="209">
        <v>62</v>
      </c>
      <c r="J98" s="209">
        <v>60</v>
      </c>
      <c r="K98" s="209">
        <v>66</v>
      </c>
      <c r="L98" s="209">
        <v>49</v>
      </c>
      <c r="M98" s="209">
        <v>144</v>
      </c>
      <c r="N98" s="209">
        <v>35</v>
      </c>
      <c r="O98" s="209">
        <v>64</v>
      </c>
      <c r="P98" s="209">
        <v>38</v>
      </c>
      <c r="Q98" s="19">
        <f>SUM(C98:P98)</f>
        <v>1065</v>
      </c>
      <c r="R98" s="76">
        <v>918</v>
      </c>
      <c r="S98" s="96">
        <v>882</v>
      </c>
    </row>
    <row r="99" spans="1:19" s="15" customFormat="1" ht="17.25" customHeight="1">
      <c r="A99" s="232">
        <v>24</v>
      </c>
      <c r="B99" s="224" t="s">
        <v>104</v>
      </c>
      <c r="C99" s="289"/>
      <c r="D99" s="226">
        <f t="shared" ref="D99:Q99" si="33">SUM(D98/D48*10000)</f>
        <v>2.3416014561107494</v>
      </c>
      <c r="E99" s="226">
        <f t="shared" si="33"/>
        <v>1.5531360798217817</v>
      </c>
      <c r="F99" s="226">
        <f t="shared" si="33"/>
        <v>2.4685394415773079</v>
      </c>
      <c r="G99" s="226">
        <f t="shared" si="33"/>
        <v>1.4503856538264148</v>
      </c>
      <c r="H99" s="226">
        <f t="shared" si="33"/>
        <v>1.3870266771464239</v>
      </c>
      <c r="I99" s="226">
        <f t="shared" si="33"/>
        <v>1.8460237541572753</v>
      </c>
      <c r="J99" s="226">
        <f t="shared" si="33"/>
        <v>1.2362849636841293</v>
      </c>
      <c r="K99" s="226">
        <f t="shared" si="33"/>
        <v>1.3898160178401839</v>
      </c>
      <c r="L99" s="226">
        <f t="shared" si="33"/>
        <v>1.3022598194376895</v>
      </c>
      <c r="M99" s="226">
        <f t="shared" si="33"/>
        <v>2.5719705223600688</v>
      </c>
      <c r="N99" s="226">
        <f t="shared" si="33"/>
        <v>1.3405236468371304</v>
      </c>
      <c r="O99" s="226">
        <f t="shared" si="33"/>
        <v>2.2361203312253242</v>
      </c>
      <c r="P99" s="226">
        <f t="shared" si="33"/>
        <v>1.5376958033044275</v>
      </c>
      <c r="Q99" s="42">
        <f t="shared" si="33"/>
        <v>1.7702919086688951</v>
      </c>
      <c r="R99" s="168">
        <v>1.5300285605331299</v>
      </c>
      <c r="S99" s="43">
        <v>1.44</v>
      </c>
    </row>
    <row r="100" spans="1:19" s="130" customFormat="1" ht="25.5">
      <c r="A100" s="206">
        <v>25</v>
      </c>
      <c r="B100" s="207" t="s">
        <v>105</v>
      </c>
      <c r="C100" s="287"/>
      <c r="D100" s="209">
        <v>156505</v>
      </c>
      <c r="E100" s="209">
        <v>19682</v>
      </c>
      <c r="F100" s="209">
        <v>152972</v>
      </c>
      <c r="G100" s="209">
        <v>182054</v>
      </c>
      <c r="H100" s="209">
        <v>189993</v>
      </c>
      <c r="I100" s="209">
        <v>115617</v>
      </c>
      <c r="J100" s="209">
        <v>164971</v>
      </c>
      <c r="K100" s="209">
        <v>102166</v>
      </c>
      <c r="L100" s="209">
        <v>101926</v>
      </c>
      <c r="M100" s="209">
        <v>31147</v>
      </c>
      <c r="N100" s="209">
        <v>13303</v>
      </c>
      <c r="O100" s="209">
        <v>10316</v>
      </c>
      <c r="P100" s="209">
        <v>22417</v>
      </c>
      <c r="Q100" s="44">
        <f>SUM(C100:P100)</f>
        <v>1263069</v>
      </c>
      <c r="R100" s="13">
        <v>1227825</v>
      </c>
      <c r="S100" s="14">
        <v>123987</v>
      </c>
    </row>
    <row r="101" spans="1:19" s="33" customFormat="1" ht="25.5">
      <c r="A101" s="244"/>
      <c r="B101" s="211" t="s">
        <v>106</v>
      </c>
      <c r="C101" s="290"/>
      <c r="D101" s="222">
        <f>D100/C5</f>
        <v>5048.5483870967746</v>
      </c>
      <c r="E101" s="222">
        <f>E100/C5</f>
        <v>634.90322580645159</v>
      </c>
      <c r="F101" s="222">
        <f>F100/C5</f>
        <v>4934.5806451612907</v>
      </c>
      <c r="G101" s="222">
        <f>G100/C5</f>
        <v>5872.7096774193551</v>
      </c>
      <c r="H101" s="222">
        <f>H100/C5</f>
        <v>6128.8064516129034</v>
      </c>
      <c r="I101" s="222">
        <f>I100/C5</f>
        <v>3729.5806451612902</v>
      </c>
      <c r="J101" s="222">
        <f>J100/C5</f>
        <v>5321.6451612903229</v>
      </c>
      <c r="K101" s="222">
        <f>K100/C5</f>
        <v>3295.6774193548385</v>
      </c>
      <c r="L101" s="222">
        <f>L100/C5</f>
        <v>3287.9354838709678</v>
      </c>
      <c r="M101" s="222">
        <f>M100/C5</f>
        <v>1004.741935483871</v>
      </c>
      <c r="N101" s="222">
        <f>N100/C5</f>
        <v>429.12903225806451</v>
      </c>
      <c r="O101" s="222">
        <f>O100/C5</f>
        <v>332.77419354838707</v>
      </c>
      <c r="P101" s="222">
        <f>P100/C5</f>
        <v>723.12903225806451</v>
      </c>
      <c r="Q101" s="37">
        <f>Q100/C5</f>
        <v>40744.161290322583</v>
      </c>
      <c r="R101" s="128">
        <v>40927.5</v>
      </c>
      <c r="S101" s="38">
        <v>39968</v>
      </c>
    </row>
    <row r="102" spans="1:19" ht="25.5">
      <c r="A102" s="210"/>
      <c r="B102" s="211" t="s">
        <v>107</v>
      </c>
      <c r="C102" s="278"/>
      <c r="D102" s="209">
        <v>57.37</v>
      </c>
      <c r="E102" s="209">
        <v>52.91</v>
      </c>
      <c r="F102" s="209">
        <v>61.68</v>
      </c>
      <c r="G102" s="209">
        <v>61.17</v>
      </c>
      <c r="H102" s="209">
        <v>74.739999999999995</v>
      </c>
      <c r="I102" s="209">
        <v>70.37</v>
      </c>
      <c r="J102" s="209">
        <v>65.7</v>
      </c>
      <c r="K102" s="209">
        <v>63.38</v>
      </c>
      <c r="L102" s="209">
        <v>76.459999999999994</v>
      </c>
      <c r="M102" s="209">
        <v>55.82</v>
      </c>
      <c r="N102" s="209">
        <v>53.64</v>
      </c>
      <c r="O102" s="209">
        <v>55.46</v>
      </c>
      <c r="P102" s="209">
        <v>51.65</v>
      </c>
      <c r="Q102" s="97">
        <v>64.37</v>
      </c>
      <c r="R102" s="44">
        <v>64.760000000000005</v>
      </c>
      <c r="S102" s="98">
        <v>63.24</v>
      </c>
    </row>
    <row r="103" spans="1:19" ht="20.100000000000001" customHeight="1">
      <c r="A103" s="210"/>
      <c r="B103" s="211" t="s">
        <v>108</v>
      </c>
      <c r="C103" s="278"/>
      <c r="D103" s="209">
        <v>31253</v>
      </c>
      <c r="E103" s="209">
        <v>195930</v>
      </c>
      <c r="F103" s="209">
        <v>48562</v>
      </c>
      <c r="G103" s="209">
        <v>0</v>
      </c>
      <c r="H103" s="209">
        <v>24863</v>
      </c>
      <c r="I103" s="209">
        <v>0</v>
      </c>
      <c r="J103" s="209">
        <v>5650</v>
      </c>
      <c r="K103" s="209">
        <v>31798</v>
      </c>
      <c r="L103" s="209">
        <v>0</v>
      </c>
      <c r="M103" s="209">
        <v>145023</v>
      </c>
      <c r="N103" s="209">
        <v>83283</v>
      </c>
      <c r="O103" s="209">
        <v>90090</v>
      </c>
      <c r="P103" s="209">
        <v>52918</v>
      </c>
      <c r="Q103" s="37">
        <f>SUM(C103:P103)</f>
        <v>709370</v>
      </c>
      <c r="R103" s="37">
        <v>689100</v>
      </c>
      <c r="S103" s="38">
        <v>724482</v>
      </c>
    </row>
    <row r="104" spans="1:19" ht="25.5">
      <c r="A104" s="210"/>
      <c r="B104" s="211" t="s">
        <v>109</v>
      </c>
      <c r="C104" s="278"/>
      <c r="D104" s="222">
        <f>D103/C5</f>
        <v>1008.1612903225806</v>
      </c>
      <c r="E104" s="222">
        <f>E103/C5</f>
        <v>6320.322580645161</v>
      </c>
      <c r="F104" s="222">
        <f>F103/C5</f>
        <v>1566.516129032258</v>
      </c>
      <c r="G104" s="222">
        <f>G103/C5</f>
        <v>0</v>
      </c>
      <c r="H104" s="222">
        <f>H103/C5</f>
        <v>802.0322580645161</v>
      </c>
      <c r="I104" s="222">
        <f>I103/C5</f>
        <v>0</v>
      </c>
      <c r="J104" s="222">
        <f>J103/C5</f>
        <v>182.25806451612902</v>
      </c>
      <c r="K104" s="222">
        <f>K103/C5</f>
        <v>1025.741935483871</v>
      </c>
      <c r="L104" s="222">
        <f>L103/C5</f>
        <v>0</v>
      </c>
      <c r="M104" s="222">
        <f>M103/C5</f>
        <v>4678.1612903225805</v>
      </c>
      <c r="N104" s="222">
        <f>N103/C5</f>
        <v>2686.5483870967741</v>
      </c>
      <c r="O104" s="222">
        <f>O103/C5</f>
        <v>2906.1290322580644</v>
      </c>
      <c r="P104" s="222">
        <f>P103/C5</f>
        <v>1707.0322580645161</v>
      </c>
      <c r="Q104" s="37">
        <f>Q103/31</f>
        <v>22882.903225806451</v>
      </c>
      <c r="R104" s="37">
        <v>22970</v>
      </c>
      <c r="S104" s="38">
        <v>23370</v>
      </c>
    </row>
    <row r="105" spans="1:19" s="15" customFormat="1" ht="25.5">
      <c r="A105" s="291"/>
      <c r="B105" s="207" t="s">
        <v>110</v>
      </c>
      <c r="C105" s="292"/>
      <c r="D105" s="209">
        <v>74.37</v>
      </c>
      <c r="E105" s="209">
        <v>66.42</v>
      </c>
      <c r="F105" s="209">
        <v>75.290000000000006</v>
      </c>
      <c r="G105" s="209">
        <v>0</v>
      </c>
      <c r="H105" s="209">
        <v>81.37</v>
      </c>
      <c r="I105" s="209">
        <v>0</v>
      </c>
      <c r="J105" s="209">
        <v>73.239999999999995</v>
      </c>
      <c r="K105" s="209">
        <v>88.22</v>
      </c>
      <c r="L105" s="209">
        <v>0</v>
      </c>
      <c r="M105" s="209">
        <v>76.430000000000007</v>
      </c>
      <c r="N105" s="209">
        <v>75.47</v>
      </c>
      <c r="O105" s="209">
        <v>78.63</v>
      </c>
      <c r="P105" s="209">
        <v>67.87</v>
      </c>
      <c r="Q105" s="133">
        <v>73.010000000000005</v>
      </c>
      <c r="R105" s="107">
        <v>74.94</v>
      </c>
      <c r="S105" s="179">
        <v>73.59</v>
      </c>
    </row>
    <row r="106" spans="1:19" s="21" customFormat="1" ht="16.5" customHeight="1">
      <c r="A106" s="256">
        <v>26</v>
      </c>
      <c r="B106" s="257" t="s">
        <v>111</v>
      </c>
      <c r="C106" s="281"/>
      <c r="D106" s="293">
        <f>SUM(D46/D100)</f>
        <v>3.3361234465352543</v>
      </c>
      <c r="E106" s="293">
        <f>SUM(E46/E100)</f>
        <v>3.5842394065643735</v>
      </c>
      <c r="F106" s="293">
        <f t="shared" ref="F106:O106" si="34">SUM(F46/F100)</f>
        <v>2.9226982715791126</v>
      </c>
      <c r="G106" s="293">
        <v>3.06</v>
      </c>
      <c r="H106" s="293">
        <f t="shared" si="34"/>
        <v>3.0493123430863243</v>
      </c>
      <c r="I106" s="293">
        <f t="shared" si="34"/>
        <v>2.9049101775690427</v>
      </c>
      <c r="J106" s="293">
        <f t="shared" si="34"/>
        <v>2.8536773129822817</v>
      </c>
      <c r="K106" s="293">
        <f t="shared" si="34"/>
        <v>3.8037311825852043</v>
      </c>
      <c r="L106" s="293">
        <f t="shared" si="34"/>
        <v>3.6915899770421676</v>
      </c>
      <c r="M106" s="293">
        <f t="shared" si="34"/>
        <v>4.0482229428195335</v>
      </c>
      <c r="N106" s="293">
        <f t="shared" si="34"/>
        <v>3.7472750507404347</v>
      </c>
      <c r="O106" s="293">
        <f t="shared" si="34"/>
        <v>3.8958898797983714</v>
      </c>
      <c r="P106" s="293">
        <f>SUM(P46/P100)</f>
        <v>3.9140830619619038</v>
      </c>
      <c r="Q106" s="94">
        <f>SUM(Q46/Q100)</f>
        <v>3.1924431681879613</v>
      </c>
      <c r="R106" s="145">
        <v>3.2923682120823408</v>
      </c>
      <c r="S106" s="95">
        <v>3.3</v>
      </c>
    </row>
    <row r="107" spans="1:19" s="21" customFormat="1" ht="15.75" customHeight="1">
      <c r="A107" s="210"/>
      <c r="B107" s="207" t="s">
        <v>112</v>
      </c>
      <c r="C107" s="278"/>
      <c r="D107" s="269">
        <f>SUM(D47/D103)</f>
        <v>2.5607781652961314</v>
      </c>
      <c r="E107" s="269">
        <f>SUM(E47/E103)</f>
        <v>2.8932526922880619</v>
      </c>
      <c r="F107" s="269">
        <f>SUM(F47/F103)</f>
        <v>2.3885960215806596</v>
      </c>
      <c r="G107" s="269">
        <v>0</v>
      </c>
      <c r="H107" s="269">
        <f>SUM(H47/H103)</f>
        <v>2.7962031935003822</v>
      </c>
      <c r="I107" s="269">
        <v>0</v>
      </c>
      <c r="J107" s="269">
        <f>SUM(J47/J103)</f>
        <v>2.5753982300884957</v>
      </c>
      <c r="K107" s="269">
        <f t="shared" ref="K107:Q107" si="35">SUM(K47/K103)</f>
        <v>2.7130951632178126</v>
      </c>
      <c r="L107" s="269">
        <v>0</v>
      </c>
      <c r="M107" s="269">
        <f t="shared" si="35"/>
        <v>2.9911945001827296</v>
      </c>
      <c r="N107" s="269">
        <f t="shared" si="35"/>
        <v>2.5364360073484384</v>
      </c>
      <c r="O107" s="269">
        <f t="shared" si="35"/>
        <v>2.7308247308247307</v>
      </c>
      <c r="P107" s="269">
        <f>SUM(P47/P103)</f>
        <v>3.0118485203522432</v>
      </c>
      <c r="Q107" s="97">
        <f t="shared" si="35"/>
        <v>2.7963982124984139</v>
      </c>
      <c r="R107" s="90">
        <v>2.8405688579306343</v>
      </c>
      <c r="S107" s="98">
        <v>2.84</v>
      </c>
    </row>
    <row r="108" spans="1:19" s="21" customFormat="1" ht="25.5">
      <c r="A108" s="217">
        <v>27</v>
      </c>
      <c r="B108" s="207" t="s">
        <v>113</v>
      </c>
      <c r="C108" s="294"/>
      <c r="D108" s="209">
        <v>1159</v>
      </c>
      <c r="E108" s="209">
        <v>547</v>
      </c>
      <c r="F108" s="209">
        <v>1050</v>
      </c>
      <c r="G108" s="209">
        <v>570</v>
      </c>
      <c r="H108" s="209">
        <v>1430</v>
      </c>
      <c r="I108" s="209">
        <v>391</v>
      </c>
      <c r="J108" s="209">
        <v>555</v>
      </c>
      <c r="K108" s="209">
        <v>561</v>
      </c>
      <c r="L108" s="209">
        <v>748</v>
      </c>
      <c r="M108" s="209">
        <v>643</v>
      </c>
      <c r="N108" s="209">
        <v>586</v>
      </c>
      <c r="O108" s="209">
        <v>581</v>
      </c>
      <c r="P108" s="209">
        <v>475</v>
      </c>
      <c r="Q108" s="44">
        <f>SUM(D108:P108)</f>
        <v>9296</v>
      </c>
      <c r="R108" s="45">
        <v>9385</v>
      </c>
      <c r="S108" s="14">
        <v>9491</v>
      </c>
    </row>
    <row r="109" spans="1:19" s="21" customFormat="1" ht="18" customHeight="1">
      <c r="A109" s="210"/>
      <c r="B109" s="207" t="s">
        <v>178</v>
      </c>
      <c r="C109" s="278"/>
      <c r="D109" s="295">
        <f t="shared" ref="D109:Q109" si="36">SUM(D108)/$C5</f>
        <v>37.387096774193552</v>
      </c>
      <c r="E109" s="295">
        <f t="shared" si="36"/>
        <v>17.64516129032258</v>
      </c>
      <c r="F109" s="295">
        <f t="shared" si="36"/>
        <v>33.87096774193548</v>
      </c>
      <c r="G109" s="295">
        <f t="shared" si="36"/>
        <v>18.387096774193548</v>
      </c>
      <c r="H109" s="295">
        <f t="shared" si="36"/>
        <v>46.12903225806452</v>
      </c>
      <c r="I109" s="295">
        <f t="shared" si="36"/>
        <v>12.612903225806452</v>
      </c>
      <c r="J109" s="295">
        <f t="shared" si="36"/>
        <v>17.903225806451612</v>
      </c>
      <c r="K109" s="295">
        <f t="shared" si="36"/>
        <v>18.096774193548388</v>
      </c>
      <c r="L109" s="295">
        <f t="shared" si="36"/>
        <v>24.129032258064516</v>
      </c>
      <c r="M109" s="295">
        <f t="shared" si="36"/>
        <v>20.741935483870968</v>
      </c>
      <c r="N109" s="295">
        <f t="shared" si="36"/>
        <v>18.903225806451612</v>
      </c>
      <c r="O109" s="295">
        <f t="shared" si="36"/>
        <v>18.741935483870968</v>
      </c>
      <c r="P109" s="295">
        <f t="shared" si="36"/>
        <v>15.32258064516129</v>
      </c>
      <c r="Q109" s="136">
        <f t="shared" si="36"/>
        <v>299.87096774193549</v>
      </c>
      <c r="R109" s="97">
        <v>312.83333333333331</v>
      </c>
      <c r="S109" s="180">
        <v>306.16000000000003</v>
      </c>
    </row>
    <row r="110" spans="1:19" s="21" customFormat="1" ht="18" customHeight="1">
      <c r="A110" s="210">
        <v>28</v>
      </c>
      <c r="B110" s="211" t="s">
        <v>115</v>
      </c>
      <c r="C110" s="274"/>
      <c r="D110" s="295">
        <f t="shared" ref="D110:Q110" si="37">SUM(D48/D108)</f>
        <v>519.54443485763591</v>
      </c>
      <c r="E110" s="295">
        <f t="shared" si="37"/>
        <v>1165.3016453382083</v>
      </c>
      <c r="F110" s="295">
        <f t="shared" si="37"/>
        <v>536.2723809523809</v>
      </c>
      <c r="G110" s="295">
        <f t="shared" si="37"/>
        <v>943.48771929824557</v>
      </c>
      <c r="H110" s="295">
        <f t="shared" si="37"/>
        <v>453.75524475524475</v>
      </c>
      <c r="I110" s="295">
        <f t="shared" si="37"/>
        <v>858.96930946291559</v>
      </c>
      <c r="J110" s="295">
        <f t="shared" si="37"/>
        <v>874.45945945945948</v>
      </c>
      <c r="K110" s="295">
        <f t="shared" si="37"/>
        <v>846.49376114081997</v>
      </c>
      <c r="L110" s="295">
        <f t="shared" si="37"/>
        <v>503.03342245989307</v>
      </c>
      <c r="M110" s="295">
        <f t="shared" si="37"/>
        <v>870.73405909797827</v>
      </c>
      <c r="N110" s="295">
        <f t="shared" si="37"/>
        <v>445.54948805460754</v>
      </c>
      <c r="O110" s="295">
        <f t="shared" si="37"/>
        <v>492.61617900172115</v>
      </c>
      <c r="P110" s="295">
        <f t="shared" si="37"/>
        <v>520.2589473684211</v>
      </c>
      <c r="Q110" s="136">
        <f t="shared" si="37"/>
        <v>647.1554432013769</v>
      </c>
      <c r="R110" s="145">
        <v>639.306126798082</v>
      </c>
      <c r="S110" s="180">
        <v>947.24</v>
      </c>
    </row>
    <row r="111" spans="1:19" s="21" customFormat="1" ht="24" customHeight="1">
      <c r="A111" s="210">
        <v>29</v>
      </c>
      <c r="B111" s="211" t="s">
        <v>116</v>
      </c>
      <c r="C111" s="274"/>
      <c r="D111" s="209">
        <v>20</v>
      </c>
      <c r="E111" s="209">
        <v>27</v>
      </c>
      <c r="F111" s="209">
        <v>4</v>
      </c>
      <c r="G111" s="209">
        <v>17</v>
      </c>
      <c r="H111" s="209">
        <v>18</v>
      </c>
      <c r="I111" s="209">
        <v>13</v>
      </c>
      <c r="J111" s="209">
        <v>13</v>
      </c>
      <c r="K111" s="209">
        <v>17</v>
      </c>
      <c r="L111" s="209">
        <v>13</v>
      </c>
      <c r="M111" s="209">
        <v>17</v>
      </c>
      <c r="N111" s="209">
        <v>10</v>
      </c>
      <c r="O111" s="209">
        <v>5</v>
      </c>
      <c r="P111" s="209">
        <v>18</v>
      </c>
      <c r="Q111" s="137">
        <f>SUM(D111:P111)</f>
        <v>192</v>
      </c>
      <c r="R111" s="185">
        <v>173</v>
      </c>
      <c r="S111" s="181">
        <v>316</v>
      </c>
    </row>
    <row r="112" spans="1:19" s="21" customFormat="1" ht="18" customHeight="1">
      <c r="A112" s="210">
        <v>30</v>
      </c>
      <c r="B112" s="211" t="s">
        <v>180</v>
      </c>
      <c r="C112" s="278"/>
      <c r="D112" s="272">
        <v>48197.9</v>
      </c>
      <c r="E112" s="272">
        <v>49389.740740740737</v>
      </c>
      <c r="F112" s="272">
        <v>45027.25</v>
      </c>
      <c r="G112" s="272">
        <v>47573.76470588235</v>
      </c>
      <c r="H112" s="272">
        <v>48397.666666666664</v>
      </c>
      <c r="I112" s="272">
        <v>41870.384615384617</v>
      </c>
      <c r="J112" s="272">
        <v>60663.538461538461</v>
      </c>
      <c r="K112" s="272">
        <v>46204.411764705881</v>
      </c>
      <c r="L112" s="272">
        <v>48026.461538461539</v>
      </c>
      <c r="M112" s="272">
        <v>49111.76470588235</v>
      </c>
      <c r="N112" s="272">
        <v>49979.3</v>
      </c>
      <c r="O112" s="272">
        <v>43188</v>
      </c>
      <c r="P112" s="272">
        <v>46974.777777777781</v>
      </c>
      <c r="Q112" s="138">
        <v>48418.963541666664</v>
      </c>
      <c r="R112" s="185">
        <v>48984.254335260113</v>
      </c>
      <c r="S112" s="116">
        <v>44381</v>
      </c>
    </row>
    <row r="113" spans="1:20" s="21" customFormat="1" ht="25.5">
      <c r="A113" s="252">
        <v>31</v>
      </c>
      <c r="B113" s="253" t="s">
        <v>118</v>
      </c>
      <c r="C113" s="292"/>
      <c r="D113" s="209">
        <v>21</v>
      </c>
      <c r="E113" s="209">
        <v>25</v>
      </c>
      <c r="F113" s="209">
        <v>10</v>
      </c>
      <c r="G113" s="209">
        <v>19</v>
      </c>
      <c r="H113" s="209">
        <v>15</v>
      </c>
      <c r="I113" s="209">
        <v>22</v>
      </c>
      <c r="J113" s="209">
        <v>14</v>
      </c>
      <c r="K113" s="209">
        <v>18</v>
      </c>
      <c r="L113" s="209">
        <v>18</v>
      </c>
      <c r="M113" s="209">
        <v>8</v>
      </c>
      <c r="N113" s="209">
        <v>14</v>
      </c>
      <c r="O113" s="209">
        <v>4</v>
      </c>
      <c r="P113" s="209">
        <v>18</v>
      </c>
      <c r="Q113" s="137">
        <f>SUM(D113:P113)</f>
        <v>206</v>
      </c>
      <c r="R113" s="137">
        <v>190</v>
      </c>
      <c r="S113" s="181">
        <v>286</v>
      </c>
    </row>
    <row r="114" spans="1:20" s="15" customFormat="1" ht="15" thickBot="1">
      <c r="A114" s="296">
        <v>32</v>
      </c>
      <c r="B114" s="265" t="s">
        <v>179</v>
      </c>
      <c r="C114" s="275"/>
      <c r="D114" s="297">
        <v>41345.190476190473</v>
      </c>
      <c r="E114" s="297">
        <v>40623.879999999997</v>
      </c>
      <c r="F114" s="297">
        <v>38455.199999999997</v>
      </c>
      <c r="G114" s="297">
        <v>37893.473684210527</v>
      </c>
      <c r="H114" s="297">
        <v>33557.333333333336</v>
      </c>
      <c r="I114" s="297">
        <v>31411.81818181818</v>
      </c>
      <c r="J114" s="297">
        <v>46629.5</v>
      </c>
      <c r="K114" s="297">
        <v>38427.333333333336</v>
      </c>
      <c r="L114" s="297">
        <v>39381.888888888891</v>
      </c>
      <c r="M114" s="297">
        <v>39447.5</v>
      </c>
      <c r="N114" s="297">
        <v>32773.571428571428</v>
      </c>
      <c r="O114" s="297">
        <v>34200</v>
      </c>
      <c r="P114" s="297">
        <v>40361.222222222219</v>
      </c>
      <c r="Q114" s="184">
        <v>38222.7427184466</v>
      </c>
      <c r="R114" s="103">
        <v>39808.631578947367</v>
      </c>
      <c r="S114" s="104">
        <v>38949</v>
      </c>
    </row>
    <row r="115" spans="1:20" s="15" customFormat="1" ht="15" thickTop="1">
      <c r="A115" s="668" t="s">
        <v>120</v>
      </c>
      <c r="B115" s="669"/>
      <c r="C115" s="287"/>
      <c r="D115" s="209"/>
      <c r="E115" s="209"/>
      <c r="F115" s="209"/>
      <c r="G115" s="209"/>
      <c r="H115" s="209"/>
      <c r="I115" s="209"/>
      <c r="J115" s="209" t="s">
        <v>121</v>
      </c>
      <c r="K115" s="209"/>
      <c r="L115" s="209"/>
      <c r="M115" s="209"/>
      <c r="N115" s="209"/>
      <c r="O115" s="209"/>
      <c r="P115" s="209"/>
      <c r="Q115" s="13"/>
      <c r="R115" s="127"/>
      <c r="S115" s="58"/>
    </row>
    <row r="116" spans="1:20" s="21" customFormat="1">
      <c r="A116" s="210">
        <v>33</v>
      </c>
      <c r="B116" s="245" t="s">
        <v>122</v>
      </c>
      <c r="C116" s="298" t="s">
        <v>123</v>
      </c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97"/>
      <c r="R116" s="37"/>
      <c r="S116" s="98"/>
    </row>
    <row r="117" spans="1:20" s="21" customFormat="1">
      <c r="A117" s="210"/>
      <c r="B117" s="211" t="s">
        <v>124</v>
      </c>
      <c r="C117" s="299">
        <v>1</v>
      </c>
      <c r="D117" s="251" t="s">
        <v>72</v>
      </c>
      <c r="E117" s="251" t="s">
        <v>72</v>
      </c>
      <c r="F117" s="251" t="s">
        <v>72</v>
      </c>
      <c r="G117" s="251" t="s">
        <v>72</v>
      </c>
      <c r="H117" s="251" t="s">
        <v>72</v>
      </c>
      <c r="I117" s="251" t="s">
        <v>72</v>
      </c>
      <c r="J117" s="251" t="s">
        <v>72</v>
      </c>
      <c r="K117" s="251" t="s">
        <v>72</v>
      </c>
      <c r="L117" s="251" t="s">
        <v>72</v>
      </c>
      <c r="M117" s="251" t="s">
        <v>72</v>
      </c>
      <c r="N117" s="251" t="s">
        <v>72</v>
      </c>
      <c r="O117" s="251" t="s">
        <v>72</v>
      </c>
      <c r="P117" s="251" t="s">
        <v>72</v>
      </c>
      <c r="Q117" s="97">
        <v>0.47</v>
      </c>
      <c r="R117" s="100">
        <v>0.46891002194586684</v>
      </c>
      <c r="S117" s="98">
        <v>0.47</v>
      </c>
    </row>
    <row r="118" spans="1:20" s="21" customFormat="1">
      <c r="A118" s="210"/>
      <c r="B118" s="211" t="s">
        <v>125</v>
      </c>
      <c r="C118" s="299">
        <v>6.5</v>
      </c>
      <c r="D118" s="251" t="s">
        <v>72</v>
      </c>
      <c r="E118" s="251" t="s">
        <v>72</v>
      </c>
      <c r="F118" s="251" t="s">
        <v>72</v>
      </c>
      <c r="G118" s="251" t="s">
        <v>72</v>
      </c>
      <c r="H118" s="251" t="s">
        <v>72</v>
      </c>
      <c r="I118" s="251" t="s">
        <v>72</v>
      </c>
      <c r="J118" s="251" t="s">
        <v>72</v>
      </c>
      <c r="K118" s="251" t="s">
        <v>72</v>
      </c>
      <c r="L118" s="251" t="s">
        <v>72</v>
      </c>
      <c r="M118" s="251" t="s">
        <v>72</v>
      </c>
      <c r="N118" s="251" t="s">
        <v>72</v>
      </c>
      <c r="O118" s="251" t="s">
        <v>72</v>
      </c>
      <c r="P118" s="251" t="s">
        <v>72</v>
      </c>
      <c r="Q118" s="97">
        <v>4.9000000000000004</v>
      </c>
      <c r="R118" s="97">
        <v>4.9312362838332113</v>
      </c>
      <c r="S118" s="98">
        <v>4.92</v>
      </c>
    </row>
    <row r="119" spans="1:20" s="21" customFormat="1">
      <c r="A119" s="210"/>
      <c r="B119" s="211" t="s">
        <v>126</v>
      </c>
      <c r="C119" s="300">
        <v>1.5</v>
      </c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97">
        <v>0.99</v>
      </c>
      <c r="R119" s="97">
        <v>0.99268471104608635</v>
      </c>
      <c r="S119" s="98">
        <v>0.92</v>
      </c>
    </row>
    <row r="120" spans="1:20" s="21" customFormat="1" ht="15">
      <c r="A120" s="252"/>
      <c r="B120" s="245" t="s">
        <v>127</v>
      </c>
      <c r="C120" s="301">
        <f>SUM(C117:C119)</f>
        <v>9</v>
      </c>
      <c r="D120" s="251" t="s">
        <v>72</v>
      </c>
      <c r="E120" s="251" t="s">
        <v>72</v>
      </c>
      <c r="F120" s="251" t="s">
        <v>72</v>
      </c>
      <c r="G120" s="251" t="s">
        <v>72</v>
      </c>
      <c r="H120" s="251" t="s">
        <v>72</v>
      </c>
      <c r="I120" s="251" t="s">
        <v>72</v>
      </c>
      <c r="J120" s="251" t="s">
        <v>72</v>
      </c>
      <c r="K120" s="251" t="s">
        <v>72</v>
      </c>
      <c r="L120" s="251" t="s">
        <v>72</v>
      </c>
      <c r="M120" s="251" t="s">
        <v>72</v>
      </c>
      <c r="N120" s="251" t="s">
        <v>72</v>
      </c>
      <c r="O120" s="251" t="s">
        <v>72</v>
      </c>
      <c r="P120" s="251" t="s">
        <v>72</v>
      </c>
      <c r="Q120" s="97">
        <f>SUM(Q117:Q119)</f>
        <v>6.36</v>
      </c>
      <c r="R120" s="97">
        <v>6.3928310168251645</v>
      </c>
      <c r="S120" s="98">
        <v>6.31</v>
      </c>
    </row>
    <row r="121" spans="1:20" s="21" customFormat="1" ht="38.25">
      <c r="A121" s="217">
        <v>34</v>
      </c>
      <c r="B121" s="207" t="s">
        <v>128</v>
      </c>
      <c r="C121" s="287"/>
      <c r="D121" s="228" t="s">
        <v>72</v>
      </c>
      <c r="E121" s="228" t="s">
        <v>72</v>
      </c>
      <c r="F121" s="228" t="s">
        <v>72</v>
      </c>
      <c r="G121" s="228" t="s">
        <v>72</v>
      </c>
      <c r="H121" s="228" t="s">
        <v>72</v>
      </c>
      <c r="I121" s="228" t="s">
        <v>72</v>
      </c>
      <c r="J121" s="228" t="s">
        <v>72</v>
      </c>
      <c r="K121" s="228" t="s">
        <v>72</v>
      </c>
      <c r="L121" s="228" t="s">
        <v>72</v>
      </c>
      <c r="M121" s="228" t="s">
        <v>72</v>
      </c>
      <c r="N121" s="228" t="s">
        <v>72</v>
      </c>
      <c r="O121" s="228" t="s">
        <v>72</v>
      </c>
      <c r="P121" s="228" t="s">
        <v>72</v>
      </c>
      <c r="Q121" s="145">
        <v>1045</v>
      </c>
      <c r="R121" s="97">
        <v>1073.3900000000001</v>
      </c>
      <c r="S121" s="140">
        <v>982.92</v>
      </c>
    </row>
    <row r="122" spans="1:20" s="21" customFormat="1" ht="25.5">
      <c r="A122" s="223">
        <v>35</v>
      </c>
      <c r="B122" s="224" t="s">
        <v>129</v>
      </c>
      <c r="C122" s="302">
        <v>48</v>
      </c>
      <c r="D122" s="209">
        <v>260</v>
      </c>
      <c r="E122" s="209">
        <v>221</v>
      </c>
      <c r="F122" s="209">
        <v>130</v>
      </c>
      <c r="G122" s="209">
        <v>182</v>
      </c>
      <c r="H122" s="209">
        <v>124</v>
      </c>
      <c r="I122" s="209">
        <v>60</v>
      </c>
      <c r="J122" s="209">
        <v>75</v>
      </c>
      <c r="K122" s="209">
        <v>125</v>
      </c>
      <c r="L122" s="209">
        <v>31</v>
      </c>
      <c r="M122" s="209">
        <v>85</v>
      </c>
      <c r="N122" s="209">
        <v>88</v>
      </c>
      <c r="O122" s="209">
        <v>51</v>
      </c>
      <c r="P122" s="209">
        <v>42</v>
      </c>
      <c r="Q122" s="137">
        <f>SUM(C122:P122)</f>
        <v>1522</v>
      </c>
      <c r="R122" s="59">
        <v>1802</v>
      </c>
      <c r="S122" s="60">
        <v>2052</v>
      </c>
    </row>
    <row r="123" spans="1:20" s="21" customFormat="1" ht="38.25">
      <c r="A123" s="256">
        <v>36</v>
      </c>
      <c r="B123" s="257" t="s">
        <v>130</v>
      </c>
      <c r="C123" s="303"/>
      <c r="D123" s="304" t="s">
        <v>72</v>
      </c>
      <c r="E123" s="304" t="s">
        <v>72</v>
      </c>
      <c r="F123" s="304" t="s">
        <v>72</v>
      </c>
      <c r="G123" s="304" t="s">
        <v>72</v>
      </c>
      <c r="H123" s="304" t="s">
        <v>72</v>
      </c>
      <c r="I123" s="304" t="s">
        <v>72</v>
      </c>
      <c r="J123" s="304" t="s">
        <v>72</v>
      </c>
      <c r="K123" s="304" t="s">
        <v>72</v>
      </c>
      <c r="L123" s="304" t="s">
        <v>72</v>
      </c>
      <c r="M123" s="304" t="s">
        <v>72</v>
      </c>
      <c r="N123" s="304" t="s">
        <v>72</v>
      </c>
      <c r="O123" s="304" t="s">
        <v>72</v>
      </c>
      <c r="P123" s="304" t="s">
        <v>72</v>
      </c>
      <c r="Q123" s="113">
        <v>1814</v>
      </c>
      <c r="R123" s="45">
        <v>1316</v>
      </c>
      <c r="S123" s="182">
        <v>2104</v>
      </c>
    </row>
    <row r="124" spans="1:20" s="21" customFormat="1" ht="20.100000000000001" customHeight="1">
      <c r="A124" s="217">
        <v>37</v>
      </c>
      <c r="B124" s="207" t="s">
        <v>131</v>
      </c>
      <c r="C124" s="218"/>
      <c r="D124" s="228" t="s">
        <v>72</v>
      </c>
      <c r="E124" s="228" t="s">
        <v>72</v>
      </c>
      <c r="F124" s="228" t="s">
        <v>72</v>
      </c>
      <c r="G124" s="228" t="s">
        <v>72</v>
      </c>
      <c r="H124" s="228" t="s">
        <v>72</v>
      </c>
      <c r="I124" s="228" t="s">
        <v>72</v>
      </c>
      <c r="J124" s="228" t="s">
        <v>72</v>
      </c>
      <c r="K124" s="228" t="s">
        <v>72</v>
      </c>
      <c r="L124" s="228" t="s">
        <v>72</v>
      </c>
      <c r="M124" s="228" t="s">
        <v>72</v>
      </c>
      <c r="N124" s="228" t="s">
        <v>72</v>
      </c>
      <c r="O124" s="228" t="s">
        <v>72</v>
      </c>
      <c r="P124" s="228" t="s">
        <v>72</v>
      </c>
      <c r="Q124" s="44">
        <v>307</v>
      </c>
      <c r="R124" s="167">
        <v>312</v>
      </c>
      <c r="S124" s="14">
        <v>320</v>
      </c>
    </row>
    <row r="125" spans="1:20" s="15" customFormat="1" ht="20.100000000000001" customHeight="1">
      <c r="A125" s="232"/>
      <c r="B125" s="224" t="s">
        <v>132</v>
      </c>
      <c r="C125" s="234"/>
      <c r="D125" s="273" t="s">
        <v>72</v>
      </c>
      <c r="E125" s="273" t="s">
        <v>72</v>
      </c>
      <c r="F125" s="273" t="s">
        <v>72</v>
      </c>
      <c r="G125" s="273" t="s">
        <v>72</v>
      </c>
      <c r="H125" s="273" t="s">
        <v>72</v>
      </c>
      <c r="I125" s="273" t="s">
        <v>72</v>
      </c>
      <c r="J125" s="273" t="s">
        <v>72</v>
      </c>
      <c r="K125" s="273" t="s">
        <v>72</v>
      </c>
      <c r="L125" s="273" t="s">
        <v>72</v>
      </c>
      <c r="M125" s="273" t="s">
        <v>72</v>
      </c>
      <c r="N125" s="273" t="s">
        <v>72</v>
      </c>
      <c r="O125" s="273" t="s">
        <v>72</v>
      </c>
      <c r="P125" s="273" t="s">
        <v>72</v>
      </c>
      <c r="Q125" s="42">
        <v>21.51</v>
      </c>
      <c r="R125" s="80">
        <v>21.69</v>
      </c>
      <c r="S125" s="43">
        <v>21.41</v>
      </c>
    </row>
    <row r="126" spans="1:20" s="15" customFormat="1" ht="20.100000000000001" customHeight="1">
      <c r="A126" s="206">
        <v>38</v>
      </c>
      <c r="B126" s="207" t="s">
        <v>133</v>
      </c>
      <c r="C126" s="220"/>
      <c r="D126" s="209" t="s">
        <v>72</v>
      </c>
      <c r="E126" s="209" t="s">
        <v>72</v>
      </c>
      <c r="F126" s="209" t="s">
        <v>72</v>
      </c>
      <c r="G126" s="209" t="s">
        <v>72</v>
      </c>
      <c r="H126" s="209" t="s">
        <v>72</v>
      </c>
      <c r="I126" s="209" t="s">
        <v>72</v>
      </c>
      <c r="J126" s="209" t="s">
        <v>72</v>
      </c>
      <c r="K126" s="209" t="s">
        <v>72</v>
      </c>
      <c r="L126" s="209" t="s">
        <v>72</v>
      </c>
      <c r="M126" s="209" t="s">
        <v>72</v>
      </c>
      <c r="N126" s="209" t="s">
        <v>72</v>
      </c>
      <c r="O126" s="209" t="s">
        <v>72</v>
      </c>
      <c r="P126" s="209" t="s">
        <v>72</v>
      </c>
      <c r="Q126" s="36">
        <v>443498734</v>
      </c>
      <c r="R126" s="44">
        <v>417016294</v>
      </c>
      <c r="S126" s="49">
        <v>434583673</v>
      </c>
      <c r="T126" s="199"/>
    </row>
    <row r="127" spans="1:20" s="21" customFormat="1" ht="20.100000000000001" customHeight="1">
      <c r="A127" s="210"/>
      <c r="B127" s="211" t="s">
        <v>134</v>
      </c>
      <c r="C127" s="212"/>
      <c r="D127" s="251" t="s">
        <v>72</v>
      </c>
      <c r="E127" s="251" t="s">
        <v>72</v>
      </c>
      <c r="F127" s="251" t="s">
        <v>72</v>
      </c>
      <c r="G127" s="251" t="s">
        <v>72</v>
      </c>
      <c r="H127" s="251" t="s">
        <v>72</v>
      </c>
      <c r="I127" s="251" t="s">
        <v>72</v>
      </c>
      <c r="J127" s="251" t="s">
        <v>72</v>
      </c>
      <c r="K127" s="251" t="s">
        <v>72</v>
      </c>
      <c r="L127" s="251" t="s">
        <v>72</v>
      </c>
      <c r="M127" s="251" t="s">
        <v>72</v>
      </c>
      <c r="N127" s="251" t="s">
        <v>72</v>
      </c>
      <c r="O127" s="251" t="s">
        <v>72</v>
      </c>
      <c r="P127" s="251" t="s">
        <v>72</v>
      </c>
      <c r="Q127" s="37">
        <f>Q126/31</f>
        <v>14306410.774193548</v>
      </c>
      <c r="R127" s="128">
        <v>13900543.133333333</v>
      </c>
      <c r="S127" s="38">
        <v>14018828</v>
      </c>
    </row>
    <row r="128" spans="1:20" s="15" customFormat="1" ht="20.100000000000001" customHeight="1">
      <c r="A128" s="261"/>
      <c r="B128" s="211" t="s">
        <v>135</v>
      </c>
      <c r="C128" s="262"/>
      <c r="D128" s="230" t="s">
        <v>72</v>
      </c>
      <c r="E128" s="230" t="s">
        <v>72</v>
      </c>
      <c r="F128" s="230" t="s">
        <v>72</v>
      </c>
      <c r="G128" s="230" t="s">
        <v>72</v>
      </c>
      <c r="H128" s="230" t="s">
        <v>72</v>
      </c>
      <c r="I128" s="230" t="s">
        <v>72</v>
      </c>
      <c r="J128" s="230" t="s">
        <v>72</v>
      </c>
      <c r="K128" s="230" t="s">
        <v>72</v>
      </c>
      <c r="L128" s="230" t="s">
        <v>72</v>
      </c>
      <c r="M128" s="230" t="s">
        <v>72</v>
      </c>
      <c r="N128" s="230" t="s">
        <v>72</v>
      </c>
      <c r="O128" s="230" t="s">
        <v>72</v>
      </c>
      <c r="P128" s="230" t="s">
        <v>72</v>
      </c>
      <c r="Q128" s="90">
        <f>SUM(Q127/Q130)</f>
        <v>12.948349077860323</v>
      </c>
      <c r="R128" s="100">
        <v>13.381694685300189</v>
      </c>
      <c r="S128" s="91">
        <v>13.43</v>
      </c>
    </row>
    <row r="129" spans="1:20" s="21" customFormat="1" ht="20.100000000000001" customHeight="1">
      <c r="A129" s="252"/>
      <c r="B129" s="253" t="s">
        <v>136</v>
      </c>
      <c r="C129" s="225"/>
      <c r="D129" s="271">
        <v>49.144932701131985</v>
      </c>
      <c r="E129" s="271">
        <v>52.508329224081074</v>
      </c>
      <c r="F129" s="271">
        <v>59.782989025258061</v>
      </c>
      <c r="G129" s="271">
        <v>59.60574672235245</v>
      </c>
      <c r="H129" s="271">
        <v>51.628397068867613</v>
      </c>
      <c r="I129" s="271">
        <v>55.348098352107932</v>
      </c>
      <c r="J129" s="271">
        <v>55.223194652632571</v>
      </c>
      <c r="K129" s="271">
        <v>44.697272858030921</v>
      </c>
      <c r="L129" s="271">
        <v>48.565484032431549</v>
      </c>
      <c r="M129" s="271">
        <v>45.384420162629858</v>
      </c>
      <c r="N129" s="271">
        <v>53.218019090365068</v>
      </c>
      <c r="O129" s="271">
        <v>53.134732183983118</v>
      </c>
      <c r="P129" s="271">
        <v>50.834658855572428</v>
      </c>
      <c r="Q129" s="107">
        <f>Q126/Q34</f>
        <v>51.953325748633745</v>
      </c>
      <c r="R129" s="107">
        <v>48.416780205578675</v>
      </c>
      <c r="S129" s="108">
        <v>49.48</v>
      </c>
    </row>
    <row r="130" spans="1:20" s="21" customFormat="1" ht="63.75">
      <c r="A130" s="256">
        <v>39</v>
      </c>
      <c r="B130" s="257" t="s">
        <v>137</v>
      </c>
      <c r="C130" s="303"/>
      <c r="D130" s="304" t="s">
        <v>72</v>
      </c>
      <c r="E130" s="304" t="s">
        <v>72</v>
      </c>
      <c r="F130" s="304" t="s">
        <v>72</v>
      </c>
      <c r="G130" s="304" t="s">
        <v>72</v>
      </c>
      <c r="H130" s="304" t="s">
        <v>72</v>
      </c>
      <c r="I130" s="304" t="s">
        <v>72</v>
      </c>
      <c r="J130" s="304" t="s">
        <v>72</v>
      </c>
      <c r="K130" s="304" t="s">
        <v>72</v>
      </c>
      <c r="L130" s="304" t="s">
        <v>72</v>
      </c>
      <c r="M130" s="304" t="s">
        <v>72</v>
      </c>
      <c r="N130" s="304" t="s">
        <v>72</v>
      </c>
      <c r="O130" s="304" t="s">
        <v>72</v>
      </c>
      <c r="P130" s="304" t="s">
        <v>72</v>
      </c>
      <c r="Q130" s="45">
        <v>1104883</v>
      </c>
      <c r="R130" s="36">
        <v>1038773</v>
      </c>
      <c r="S130" s="46">
        <v>1043980</v>
      </c>
      <c r="T130" s="198"/>
    </row>
    <row r="131" spans="1:20" s="21" customFormat="1" ht="38.25">
      <c r="A131" s="210"/>
      <c r="B131" s="211" t="s">
        <v>138</v>
      </c>
      <c r="C131" s="262"/>
      <c r="D131" s="251" t="s">
        <v>72</v>
      </c>
      <c r="E131" s="251" t="s">
        <v>72</v>
      </c>
      <c r="F131" s="251" t="s">
        <v>72</v>
      </c>
      <c r="G131" s="251" t="s">
        <v>72</v>
      </c>
      <c r="H131" s="251" t="s">
        <v>72</v>
      </c>
      <c r="I131" s="251" t="s">
        <v>72</v>
      </c>
      <c r="J131" s="251" t="s">
        <v>72</v>
      </c>
      <c r="K131" s="251" t="s">
        <v>72</v>
      </c>
      <c r="L131" s="251" t="s">
        <v>72</v>
      </c>
      <c r="M131" s="251" t="s">
        <v>72</v>
      </c>
      <c r="N131" s="251" t="s">
        <v>72</v>
      </c>
      <c r="O131" s="251" t="s">
        <v>72</v>
      </c>
      <c r="P131" s="251" t="s">
        <v>72</v>
      </c>
      <c r="Q131" s="37">
        <f>SUM(Q130-Q65)</f>
        <v>272609.03225806472</v>
      </c>
      <c r="R131" s="37">
        <v>221188.73333333328</v>
      </c>
      <c r="S131" s="38">
        <v>242140</v>
      </c>
    </row>
    <row r="132" spans="1:20" s="21" customFormat="1" ht="25.5">
      <c r="A132" s="210"/>
      <c r="B132" s="211" t="s">
        <v>139</v>
      </c>
      <c r="C132" s="262"/>
      <c r="D132" s="251" t="s">
        <v>72</v>
      </c>
      <c r="E132" s="251" t="s">
        <v>72</v>
      </c>
      <c r="F132" s="251" t="s">
        <v>72</v>
      </c>
      <c r="G132" s="251" t="s">
        <v>72</v>
      </c>
      <c r="H132" s="251" t="s">
        <v>72</v>
      </c>
      <c r="I132" s="251" t="s">
        <v>72</v>
      </c>
      <c r="J132" s="251" t="s">
        <v>72</v>
      </c>
      <c r="K132" s="251" t="s">
        <v>72</v>
      </c>
      <c r="L132" s="251" t="s">
        <v>72</v>
      </c>
      <c r="M132" s="251" t="s">
        <v>72</v>
      </c>
      <c r="N132" s="251" t="s">
        <v>72</v>
      </c>
      <c r="O132" s="251" t="s">
        <v>72</v>
      </c>
      <c r="P132" s="251" t="s">
        <v>72</v>
      </c>
      <c r="Q132" s="97">
        <f>SUM(Q131/Q130)*100</f>
        <v>24.673113104108282</v>
      </c>
      <c r="R132" s="145">
        <v>21.293269398928665</v>
      </c>
      <c r="S132" s="98">
        <v>23.19</v>
      </c>
    </row>
    <row r="133" spans="1:20" s="15" customFormat="1" ht="25.5">
      <c r="A133" s="261"/>
      <c r="B133" s="211" t="s">
        <v>140</v>
      </c>
      <c r="C133" s="262"/>
      <c r="D133" s="251" t="s">
        <v>72</v>
      </c>
      <c r="E133" s="251" t="s">
        <v>72</v>
      </c>
      <c r="F133" s="251" t="s">
        <v>72</v>
      </c>
      <c r="G133" s="251" t="s">
        <v>72</v>
      </c>
      <c r="H133" s="251" t="s">
        <v>72</v>
      </c>
      <c r="I133" s="251" t="s">
        <v>72</v>
      </c>
      <c r="J133" s="251" t="s">
        <v>72</v>
      </c>
      <c r="K133" s="251" t="s">
        <v>72</v>
      </c>
      <c r="L133" s="251" t="s">
        <v>72</v>
      </c>
      <c r="M133" s="251" t="s">
        <v>72</v>
      </c>
      <c r="N133" s="251" t="s">
        <v>72</v>
      </c>
      <c r="O133" s="251" t="s">
        <v>72</v>
      </c>
      <c r="P133" s="251" t="s">
        <v>72</v>
      </c>
      <c r="Q133" s="90">
        <f>Q130/1363</f>
        <v>810.62582538517972</v>
      </c>
      <c r="R133" s="97">
        <v>759.89246525237752</v>
      </c>
      <c r="S133" s="91">
        <v>746.23</v>
      </c>
    </row>
    <row r="134" spans="1:20" s="15" customFormat="1" ht="26.25" thickBot="1">
      <c r="A134" s="296"/>
      <c r="B134" s="265" t="s">
        <v>141</v>
      </c>
      <c r="C134" s="305"/>
      <c r="D134" s="276" t="s">
        <v>72</v>
      </c>
      <c r="E134" s="276" t="s">
        <v>72</v>
      </c>
      <c r="F134" s="276" t="s">
        <v>72</v>
      </c>
      <c r="G134" s="276" t="s">
        <v>72</v>
      </c>
      <c r="H134" s="276" t="s">
        <v>72</v>
      </c>
      <c r="I134" s="276" t="s">
        <v>72</v>
      </c>
      <c r="J134" s="276" t="s">
        <v>72</v>
      </c>
      <c r="K134" s="276" t="s">
        <v>72</v>
      </c>
      <c r="L134" s="276" t="s">
        <v>72</v>
      </c>
      <c r="M134" s="276" t="s">
        <v>72</v>
      </c>
      <c r="N134" s="276" t="s">
        <v>72</v>
      </c>
      <c r="O134" s="276" t="s">
        <v>72</v>
      </c>
      <c r="P134" s="276" t="s">
        <v>72</v>
      </c>
      <c r="Q134" s="151">
        <f>Q127/1363</f>
        <v>10496.266158615956</v>
      </c>
      <c r="R134" s="73">
        <v>10168.648963667398</v>
      </c>
      <c r="S134" s="152">
        <v>10020.61</v>
      </c>
    </row>
    <row r="135" spans="1:20" ht="13.5" thickTop="1">
      <c r="A135" s="306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155"/>
      <c r="S135" s="31"/>
    </row>
    <row r="136" spans="1:20" ht="12.75">
      <c r="A136" s="306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155"/>
      <c r="S136" s="31"/>
    </row>
    <row r="137" spans="1:20" ht="12.75">
      <c r="A137" s="306"/>
      <c r="C137" s="308"/>
      <c r="D137" s="308">
        <f>D129*D34</f>
        <v>35502938.267422862</v>
      </c>
      <c r="E137" s="308">
        <f t="shared" ref="E137:Q137" si="38">E129*E34</f>
        <v>53157437.189949162</v>
      </c>
      <c r="F137" s="308">
        <f t="shared" si="38"/>
        <v>36249295.829487175</v>
      </c>
      <c r="G137" s="308">
        <f t="shared" si="38"/>
        <v>57116729.950720459</v>
      </c>
      <c r="H137" s="308">
        <f t="shared" si="38"/>
        <v>38009342.206071027</v>
      </c>
      <c r="I137" s="308">
        <f t="shared" si="38"/>
        <v>21718483.09717045</v>
      </c>
      <c r="J137" s="308">
        <f t="shared" si="38"/>
        <v>33469949.931040812</v>
      </c>
      <c r="K137" s="308">
        <f t="shared" si="38"/>
        <v>46383745.660237283</v>
      </c>
      <c r="L137" s="308">
        <f t="shared" si="38"/>
        <v>37386243.82849016</v>
      </c>
      <c r="M137" s="308">
        <f t="shared" si="38"/>
        <v>29559553.618223265</v>
      </c>
      <c r="N137" s="308">
        <f t="shared" si="38"/>
        <v>24125856.774426099</v>
      </c>
      <c r="O137" s="308">
        <f t="shared" si="38"/>
        <v>18829142.505109362</v>
      </c>
      <c r="P137" s="308">
        <f t="shared" si="38"/>
        <v>11990015.14165188</v>
      </c>
      <c r="Q137" s="308">
        <f t="shared" si="38"/>
        <v>443498734</v>
      </c>
      <c r="S137" s="31"/>
    </row>
    <row r="138" spans="1:20">
      <c r="A138" s="309"/>
      <c r="B138" s="310"/>
      <c r="C138" s="309"/>
      <c r="D138" s="309"/>
      <c r="E138" s="309"/>
      <c r="F138" s="309"/>
      <c r="G138" s="309"/>
      <c r="H138" s="309"/>
      <c r="I138" s="309"/>
      <c r="J138" s="309"/>
      <c r="K138" s="309"/>
      <c r="N138" s="308"/>
      <c r="O138" s="308"/>
      <c r="P138" s="308"/>
      <c r="Q138" s="158"/>
      <c r="R138" s="159"/>
      <c r="S138" s="31"/>
    </row>
    <row r="139" spans="1:20">
      <c r="A139" s="309"/>
      <c r="B139" s="310"/>
      <c r="C139" s="309"/>
      <c r="D139" s="309"/>
      <c r="E139" s="309"/>
      <c r="F139" s="309"/>
      <c r="G139" s="309"/>
      <c r="H139" s="309"/>
      <c r="I139" s="309"/>
      <c r="J139" s="309"/>
      <c r="K139" s="309"/>
      <c r="N139" s="308"/>
      <c r="O139" s="308"/>
      <c r="P139" s="308"/>
      <c r="Q139" s="158"/>
      <c r="R139" s="159"/>
      <c r="S139" s="31"/>
    </row>
    <row r="140" spans="1:20">
      <c r="A140" s="309"/>
      <c r="B140" s="310"/>
      <c r="C140" s="309"/>
      <c r="D140" s="309"/>
      <c r="E140" s="309"/>
      <c r="F140" s="309"/>
      <c r="G140" s="309"/>
      <c r="H140" s="309"/>
      <c r="I140" s="309"/>
      <c r="J140" s="309"/>
      <c r="K140" s="309"/>
      <c r="N140" s="308"/>
      <c r="O140" s="308"/>
      <c r="P140" s="308"/>
      <c r="Q140" s="155"/>
      <c r="R140" s="159"/>
      <c r="S140" s="31"/>
    </row>
    <row r="141" spans="1:20" s="161" customFormat="1" ht="16.5">
      <c r="A141" s="667" t="s">
        <v>142</v>
      </c>
      <c r="B141" s="667"/>
      <c r="C141" s="311"/>
      <c r="D141" s="311"/>
      <c r="E141" s="311"/>
      <c r="F141" s="311"/>
      <c r="G141" s="311"/>
      <c r="H141" s="312"/>
      <c r="I141" s="313"/>
      <c r="J141" s="313"/>
      <c r="K141" s="313"/>
      <c r="L141" s="313"/>
      <c r="M141" s="661" t="s">
        <v>143</v>
      </c>
      <c r="N141" s="661"/>
      <c r="O141" s="661"/>
      <c r="P141" s="661"/>
      <c r="Q141" s="661"/>
      <c r="R141" s="661"/>
      <c r="S141" s="163"/>
    </row>
    <row r="142" spans="1:20" s="161" customFormat="1" ht="16.5">
      <c r="A142" s="667" t="s">
        <v>181</v>
      </c>
      <c r="B142" s="667"/>
      <c r="C142" s="311"/>
      <c r="D142" s="311"/>
      <c r="E142" s="311"/>
      <c r="F142" s="311"/>
      <c r="G142" s="311"/>
      <c r="H142" s="312"/>
      <c r="I142" s="313"/>
      <c r="J142" s="313"/>
      <c r="K142" s="313"/>
      <c r="L142" s="313"/>
      <c r="M142" s="661" t="s">
        <v>144</v>
      </c>
      <c r="N142" s="661"/>
      <c r="O142" s="661"/>
      <c r="P142" s="661"/>
      <c r="Q142" s="661"/>
      <c r="R142" s="661"/>
    </row>
    <row r="143" spans="1:20">
      <c r="R143" s="164"/>
    </row>
    <row r="147" spans="4:17">
      <c r="J147" s="314"/>
    </row>
    <row r="148" spans="4:17">
      <c r="J148" s="314"/>
    </row>
    <row r="149" spans="4:17">
      <c r="J149" s="314"/>
    </row>
    <row r="150" spans="4:17">
      <c r="J150" s="314"/>
    </row>
    <row r="151" spans="4:17">
      <c r="J151" s="314"/>
    </row>
    <row r="152" spans="4:17">
      <c r="D152" s="410" t="e">
        <f>D131*D36</f>
        <v>#VALUE!</v>
      </c>
      <c r="E152" s="410" t="e">
        <f t="shared" ref="E152:N152" si="39">E131*E36</f>
        <v>#VALUE!</v>
      </c>
      <c r="F152" s="410" t="e">
        <f t="shared" si="39"/>
        <v>#VALUE!</v>
      </c>
      <c r="G152" s="410" t="e">
        <f t="shared" si="39"/>
        <v>#VALUE!</v>
      </c>
      <c r="H152" s="410" t="e">
        <f t="shared" si="39"/>
        <v>#VALUE!</v>
      </c>
      <c r="I152" s="410" t="e">
        <f t="shared" si="39"/>
        <v>#VALUE!</v>
      </c>
      <c r="J152" s="410" t="e">
        <f t="shared" si="39"/>
        <v>#VALUE!</v>
      </c>
      <c r="K152" s="410" t="e">
        <f t="shared" si="39"/>
        <v>#VALUE!</v>
      </c>
      <c r="L152" s="410" t="e">
        <f t="shared" si="39"/>
        <v>#VALUE!</v>
      </c>
      <c r="M152" s="410" t="e">
        <f t="shared" si="39"/>
        <v>#VALUE!</v>
      </c>
      <c r="N152" s="410" t="e">
        <f t="shared" si="39"/>
        <v>#VALUE!</v>
      </c>
      <c r="O152" s="410" t="e">
        <f>O131*O36</f>
        <v>#VALUE!</v>
      </c>
      <c r="P152" s="410" t="e">
        <f>P131*P36</f>
        <v>#VALUE!</v>
      </c>
      <c r="Q152" s="410">
        <f>Q131*Q36</f>
        <v>55075915.133279368</v>
      </c>
    </row>
    <row r="153" spans="4:17">
      <c r="J153" s="314"/>
    </row>
    <row r="154" spans="4:17">
      <c r="J154" s="314"/>
    </row>
    <row r="155" spans="4:17">
      <c r="J155" s="314"/>
    </row>
    <row r="156" spans="4:17">
      <c r="J156" s="314"/>
      <c r="L156" s="314"/>
    </row>
    <row r="157" spans="4:17">
      <c r="J157" s="314"/>
      <c r="L157" s="314"/>
    </row>
    <row r="158" spans="4:17">
      <c r="J158" s="314"/>
      <c r="L158" s="314"/>
      <c r="M158" s="314"/>
    </row>
    <row r="159" spans="4:17">
      <c r="J159" s="314"/>
      <c r="K159" s="314"/>
      <c r="L159" s="314"/>
      <c r="M159" s="314"/>
    </row>
    <row r="160" spans="4:17">
      <c r="J160" s="314"/>
      <c r="L160" s="314"/>
      <c r="M160" s="314"/>
    </row>
    <row r="161" spans="12:13">
      <c r="L161" s="314"/>
      <c r="M161" s="314"/>
    </row>
    <row r="162" spans="12:13">
      <c r="L162" s="314"/>
      <c r="M162" s="314"/>
    </row>
    <row r="163" spans="12:13">
      <c r="L163" s="314"/>
      <c r="M163" s="314"/>
    </row>
    <row r="164" spans="12:13">
      <c r="L164" s="314"/>
      <c r="M164" s="314"/>
    </row>
    <row r="165" spans="12:13">
      <c r="L165" s="314"/>
      <c r="M165" s="314"/>
    </row>
    <row r="166" spans="12:13">
      <c r="L166" s="314"/>
      <c r="M166" s="314"/>
    </row>
    <row r="167" spans="12:13">
      <c r="L167" s="314"/>
      <c r="M167" s="314"/>
    </row>
    <row r="168" spans="12:13">
      <c r="L168" s="314"/>
      <c r="M168" s="314"/>
    </row>
    <row r="169" spans="12:13">
      <c r="L169" s="314"/>
      <c r="M169" s="314"/>
    </row>
    <row r="170" spans="12:13">
      <c r="M170" s="314"/>
    </row>
    <row r="171" spans="12:13">
      <c r="M171" s="314"/>
    </row>
    <row r="172" spans="12:13">
      <c r="M172" s="314"/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51181102362204722" right="0.15748031496062992" top="0.6692913385826772" bottom="0.51181102362204722" header="0.31496062992125984" footer="0.31496062992125984"/>
  <pageSetup paperSize="5" scale="82" orientation="landscape" verticalDpi="0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4"/>
  <sheetViews>
    <sheetView zoomScaleSheetLayoutView="100" workbookViewId="0">
      <selection activeCell="U117" sqref="U117"/>
    </sheetView>
  </sheetViews>
  <sheetFormatPr defaultRowHeight="14.25"/>
  <cols>
    <col min="1" max="1" width="3.7109375" style="186" customWidth="1"/>
    <col min="2" max="2" width="27.28515625" style="307" customWidth="1"/>
    <col min="3" max="3" width="7.140625" style="186" customWidth="1"/>
    <col min="4" max="8" width="10.140625" style="186" customWidth="1"/>
    <col min="9" max="9" width="10" style="186" customWidth="1"/>
    <col min="10" max="15" width="10.140625" style="186" customWidth="1"/>
    <col min="16" max="16" width="10.7109375" style="186" bestFit="1" customWidth="1"/>
    <col min="17" max="17" width="11.5703125" style="31" customWidth="1"/>
    <col min="18" max="18" width="11.7109375" style="31" bestFit="1" customWidth="1"/>
    <col min="19" max="19" width="11.42578125" style="163" customWidth="1"/>
    <col min="20" max="20" width="14.140625" style="31" customWidth="1"/>
    <col min="21" max="252" width="9.140625" style="31"/>
    <col min="253" max="253" width="3.7109375" style="31" customWidth="1"/>
    <col min="254" max="254" width="30.42578125" style="31" customWidth="1"/>
    <col min="255" max="255" width="7.140625" style="31" customWidth="1"/>
    <col min="256" max="256" width="10.7109375" style="31" customWidth="1"/>
    <col min="257" max="257" width="10.42578125" style="31" customWidth="1"/>
    <col min="258" max="258" width="10.5703125" style="31" customWidth="1"/>
    <col min="259" max="259" width="10.42578125" style="31" customWidth="1"/>
    <col min="260" max="262" width="10.5703125" style="31" customWidth="1"/>
    <col min="263" max="265" width="10.42578125" style="31" customWidth="1"/>
    <col min="266" max="266" width="10.5703125" style="31" customWidth="1"/>
    <col min="267" max="267" width="10.28515625" style="31" customWidth="1"/>
    <col min="268" max="268" width="10.140625" style="31" customWidth="1"/>
    <col min="269" max="269" width="11.7109375" style="31" customWidth="1"/>
    <col min="270" max="270" width="12.42578125" style="31" customWidth="1"/>
    <col min="271" max="271" width="11.7109375" style="31" customWidth="1"/>
    <col min="272" max="272" width="13.140625" style="31" customWidth="1"/>
    <col min="273" max="508" width="9.140625" style="31"/>
    <col min="509" max="509" width="3.7109375" style="31" customWidth="1"/>
    <col min="510" max="510" width="30.42578125" style="31" customWidth="1"/>
    <col min="511" max="511" width="7.140625" style="31" customWidth="1"/>
    <col min="512" max="512" width="10.7109375" style="31" customWidth="1"/>
    <col min="513" max="513" width="10.42578125" style="31" customWidth="1"/>
    <col min="514" max="514" width="10.5703125" style="31" customWidth="1"/>
    <col min="515" max="515" width="10.42578125" style="31" customWidth="1"/>
    <col min="516" max="518" width="10.5703125" style="31" customWidth="1"/>
    <col min="519" max="521" width="10.42578125" style="31" customWidth="1"/>
    <col min="522" max="522" width="10.5703125" style="31" customWidth="1"/>
    <col min="523" max="523" width="10.28515625" style="31" customWidth="1"/>
    <col min="524" max="524" width="10.140625" style="31" customWidth="1"/>
    <col min="525" max="525" width="11.7109375" style="31" customWidth="1"/>
    <col min="526" max="526" width="12.42578125" style="31" customWidth="1"/>
    <col min="527" max="527" width="11.7109375" style="31" customWidth="1"/>
    <col min="528" max="528" width="13.140625" style="31" customWidth="1"/>
    <col min="529" max="764" width="9.140625" style="31"/>
    <col min="765" max="765" width="3.7109375" style="31" customWidth="1"/>
    <col min="766" max="766" width="30.42578125" style="31" customWidth="1"/>
    <col min="767" max="767" width="7.140625" style="31" customWidth="1"/>
    <col min="768" max="768" width="10.7109375" style="31" customWidth="1"/>
    <col min="769" max="769" width="10.42578125" style="31" customWidth="1"/>
    <col min="770" max="770" width="10.5703125" style="31" customWidth="1"/>
    <col min="771" max="771" width="10.42578125" style="31" customWidth="1"/>
    <col min="772" max="774" width="10.5703125" style="31" customWidth="1"/>
    <col min="775" max="777" width="10.42578125" style="31" customWidth="1"/>
    <col min="778" max="778" width="10.5703125" style="31" customWidth="1"/>
    <col min="779" max="779" width="10.28515625" style="31" customWidth="1"/>
    <col min="780" max="780" width="10.140625" style="31" customWidth="1"/>
    <col min="781" max="781" width="11.7109375" style="31" customWidth="1"/>
    <col min="782" max="782" width="12.42578125" style="31" customWidth="1"/>
    <col min="783" max="783" width="11.7109375" style="31" customWidth="1"/>
    <col min="784" max="784" width="13.140625" style="31" customWidth="1"/>
    <col min="785" max="1020" width="9.140625" style="31"/>
    <col min="1021" max="1021" width="3.7109375" style="31" customWidth="1"/>
    <col min="1022" max="1022" width="30.42578125" style="31" customWidth="1"/>
    <col min="1023" max="1023" width="7.140625" style="31" customWidth="1"/>
    <col min="1024" max="1024" width="10.7109375" style="31" customWidth="1"/>
    <col min="1025" max="1025" width="10.42578125" style="31" customWidth="1"/>
    <col min="1026" max="1026" width="10.5703125" style="31" customWidth="1"/>
    <col min="1027" max="1027" width="10.42578125" style="31" customWidth="1"/>
    <col min="1028" max="1030" width="10.5703125" style="31" customWidth="1"/>
    <col min="1031" max="1033" width="10.42578125" style="31" customWidth="1"/>
    <col min="1034" max="1034" width="10.5703125" style="31" customWidth="1"/>
    <col min="1035" max="1035" width="10.28515625" style="31" customWidth="1"/>
    <col min="1036" max="1036" width="10.140625" style="31" customWidth="1"/>
    <col min="1037" max="1037" width="11.7109375" style="31" customWidth="1"/>
    <col min="1038" max="1038" width="12.42578125" style="31" customWidth="1"/>
    <col min="1039" max="1039" width="11.7109375" style="31" customWidth="1"/>
    <col min="1040" max="1040" width="13.140625" style="31" customWidth="1"/>
    <col min="1041" max="1276" width="9.140625" style="31"/>
    <col min="1277" max="1277" width="3.7109375" style="31" customWidth="1"/>
    <col min="1278" max="1278" width="30.42578125" style="31" customWidth="1"/>
    <col min="1279" max="1279" width="7.140625" style="31" customWidth="1"/>
    <col min="1280" max="1280" width="10.7109375" style="31" customWidth="1"/>
    <col min="1281" max="1281" width="10.42578125" style="31" customWidth="1"/>
    <col min="1282" max="1282" width="10.5703125" style="31" customWidth="1"/>
    <col min="1283" max="1283" width="10.42578125" style="31" customWidth="1"/>
    <col min="1284" max="1286" width="10.5703125" style="31" customWidth="1"/>
    <col min="1287" max="1289" width="10.42578125" style="31" customWidth="1"/>
    <col min="1290" max="1290" width="10.5703125" style="31" customWidth="1"/>
    <col min="1291" max="1291" width="10.28515625" style="31" customWidth="1"/>
    <col min="1292" max="1292" width="10.140625" style="31" customWidth="1"/>
    <col min="1293" max="1293" width="11.7109375" style="31" customWidth="1"/>
    <col min="1294" max="1294" width="12.42578125" style="31" customWidth="1"/>
    <col min="1295" max="1295" width="11.7109375" style="31" customWidth="1"/>
    <col min="1296" max="1296" width="13.140625" style="31" customWidth="1"/>
    <col min="1297" max="1532" width="9.140625" style="31"/>
    <col min="1533" max="1533" width="3.7109375" style="31" customWidth="1"/>
    <col min="1534" max="1534" width="30.42578125" style="31" customWidth="1"/>
    <col min="1535" max="1535" width="7.140625" style="31" customWidth="1"/>
    <col min="1536" max="1536" width="10.7109375" style="31" customWidth="1"/>
    <col min="1537" max="1537" width="10.42578125" style="31" customWidth="1"/>
    <col min="1538" max="1538" width="10.5703125" style="31" customWidth="1"/>
    <col min="1539" max="1539" width="10.42578125" style="31" customWidth="1"/>
    <col min="1540" max="1542" width="10.5703125" style="31" customWidth="1"/>
    <col min="1543" max="1545" width="10.42578125" style="31" customWidth="1"/>
    <col min="1546" max="1546" width="10.5703125" style="31" customWidth="1"/>
    <col min="1547" max="1547" width="10.28515625" style="31" customWidth="1"/>
    <col min="1548" max="1548" width="10.140625" style="31" customWidth="1"/>
    <col min="1549" max="1549" width="11.7109375" style="31" customWidth="1"/>
    <col min="1550" max="1550" width="12.42578125" style="31" customWidth="1"/>
    <col min="1551" max="1551" width="11.7109375" style="31" customWidth="1"/>
    <col min="1552" max="1552" width="13.140625" style="31" customWidth="1"/>
    <col min="1553" max="1788" width="9.140625" style="31"/>
    <col min="1789" max="1789" width="3.7109375" style="31" customWidth="1"/>
    <col min="1790" max="1790" width="30.42578125" style="31" customWidth="1"/>
    <col min="1791" max="1791" width="7.140625" style="31" customWidth="1"/>
    <col min="1792" max="1792" width="10.7109375" style="31" customWidth="1"/>
    <col min="1793" max="1793" width="10.42578125" style="31" customWidth="1"/>
    <col min="1794" max="1794" width="10.5703125" style="31" customWidth="1"/>
    <col min="1795" max="1795" width="10.42578125" style="31" customWidth="1"/>
    <col min="1796" max="1798" width="10.5703125" style="31" customWidth="1"/>
    <col min="1799" max="1801" width="10.42578125" style="31" customWidth="1"/>
    <col min="1802" max="1802" width="10.5703125" style="31" customWidth="1"/>
    <col min="1803" max="1803" width="10.28515625" style="31" customWidth="1"/>
    <col min="1804" max="1804" width="10.140625" style="31" customWidth="1"/>
    <col min="1805" max="1805" width="11.7109375" style="31" customWidth="1"/>
    <col min="1806" max="1806" width="12.42578125" style="31" customWidth="1"/>
    <col min="1807" max="1807" width="11.7109375" style="31" customWidth="1"/>
    <col min="1808" max="1808" width="13.140625" style="31" customWidth="1"/>
    <col min="1809" max="2044" width="9.140625" style="31"/>
    <col min="2045" max="2045" width="3.7109375" style="31" customWidth="1"/>
    <col min="2046" max="2046" width="30.42578125" style="31" customWidth="1"/>
    <col min="2047" max="2047" width="7.140625" style="31" customWidth="1"/>
    <col min="2048" max="2048" width="10.7109375" style="31" customWidth="1"/>
    <col min="2049" max="2049" width="10.42578125" style="31" customWidth="1"/>
    <col min="2050" max="2050" width="10.5703125" style="31" customWidth="1"/>
    <col min="2051" max="2051" width="10.42578125" style="31" customWidth="1"/>
    <col min="2052" max="2054" width="10.5703125" style="31" customWidth="1"/>
    <col min="2055" max="2057" width="10.42578125" style="31" customWidth="1"/>
    <col min="2058" max="2058" width="10.5703125" style="31" customWidth="1"/>
    <col min="2059" max="2059" width="10.28515625" style="31" customWidth="1"/>
    <col min="2060" max="2060" width="10.140625" style="31" customWidth="1"/>
    <col min="2061" max="2061" width="11.7109375" style="31" customWidth="1"/>
    <col min="2062" max="2062" width="12.42578125" style="31" customWidth="1"/>
    <col min="2063" max="2063" width="11.7109375" style="31" customWidth="1"/>
    <col min="2064" max="2064" width="13.140625" style="31" customWidth="1"/>
    <col min="2065" max="2300" width="9.140625" style="31"/>
    <col min="2301" max="2301" width="3.7109375" style="31" customWidth="1"/>
    <col min="2302" max="2302" width="30.42578125" style="31" customWidth="1"/>
    <col min="2303" max="2303" width="7.140625" style="31" customWidth="1"/>
    <col min="2304" max="2304" width="10.7109375" style="31" customWidth="1"/>
    <col min="2305" max="2305" width="10.42578125" style="31" customWidth="1"/>
    <col min="2306" max="2306" width="10.5703125" style="31" customWidth="1"/>
    <col min="2307" max="2307" width="10.42578125" style="31" customWidth="1"/>
    <col min="2308" max="2310" width="10.5703125" style="31" customWidth="1"/>
    <col min="2311" max="2313" width="10.42578125" style="31" customWidth="1"/>
    <col min="2314" max="2314" width="10.5703125" style="31" customWidth="1"/>
    <col min="2315" max="2315" width="10.28515625" style="31" customWidth="1"/>
    <col min="2316" max="2316" width="10.140625" style="31" customWidth="1"/>
    <col min="2317" max="2317" width="11.7109375" style="31" customWidth="1"/>
    <col min="2318" max="2318" width="12.42578125" style="31" customWidth="1"/>
    <col min="2319" max="2319" width="11.7109375" style="31" customWidth="1"/>
    <col min="2320" max="2320" width="13.140625" style="31" customWidth="1"/>
    <col min="2321" max="2556" width="9.140625" style="31"/>
    <col min="2557" max="2557" width="3.7109375" style="31" customWidth="1"/>
    <col min="2558" max="2558" width="30.42578125" style="31" customWidth="1"/>
    <col min="2559" max="2559" width="7.140625" style="31" customWidth="1"/>
    <col min="2560" max="2560" width="10.7109375" style="31" customWidth="1"/>
    <col min="2561" max="2561" width="10.42578125" style="31" customWidth="1"/>
    <col min="2562" max="2562" width="10.5703125" style="31" customWidth="1"/>
    <col min="2563" max="2563" width="10.42578125" style="31" customWidth="1"/>
    <col min="2564" max="2566" width="10.5703125" style="31" customWidth="1"/>
    <col min="2567" max="2569" width="10.42578125" style="31" customWidth="1"/>
    <col min="2570" max="2570" width="10.5703125" style="31" customWidth="1"/>
    <col min="2571" max="2571" width="10.28515625" style="31" customWidth="1"/>
    <col min="2572" max="2572" width="10.140625" style="31" customWidth="1"/>
    <col min="2573" max="2573" width="11.7109375" style="31" customWidth="1"/>
    <col min="2574" max="2574" width="12.42578125" style="31" customWidth="1"/>
    <col min="2575" max="2575" width="11.7109375" style="31" customWidth="1"/>
    <col min="2576" max="2576" width="13.140625" style="31" customWidth="1"/>
    <col min="2577" max="2812" width="9.140625" style="31"/>
    <col min="2813" max="2813" width="3.7109375" style="31" customWidth="1"/>
    <col min="2814" max="2814" width="30.42578125" style="31" customWidth="1"/>
    <col min="2815" max="2815" width="7.140625" style="31" customWidth="1"/>
    <col min="2816" max="2816" width="10.7109375" style="31" customWidth="1"/>
    <col min="2817" max="2817" width="10.42578125" style="31" customWidth="1"/>
    <col min="2818" max="2818" width="10.5703125" style="31" customWidth="1"/>
    <col min="2819" max="2819" width="10.42578125" style="31" customWidth="1"/>
    <col min="2820" max="2822" width="10.5703125" style="31" customWidth="1"/>
    <col min="2823" max="2825" width="10.42578125" style="31" customWidth="1"/>
    <col min="2826" max="2826" width="10.5703125" style="31" customWidth="1"/>
    <col min="2827" max="2827" width="10.28515625" style="31" customWidth="1"/>
    <col min="2828" max="2828" width="10.140625" style="31" customWidth="1"/>
    <col min="2829" max="2829" width="11.7109375" style="31" customWidth="1"/>
    <col min="2830" max="2830" width="12.42578125" style="31" customWidth="1"/>
    <col min="2831" max="2831" width="11.7109375" style="31" customWidth="1"/>
    <col min="2832" max="2832" width="13.140625" style="31" customWidth="1"/>
    <col min="2833" max="3068" width="9.140625" style="31"/>
    <col min="3069" max="3069" width="3.7109375" style="31" customWidth="1"/>
    <col min="3070" max="3070" width="30.42578125" style="31" customWidth="1"/>
    <col min="3071" max="3071" width="7.140625" style="31" customWidth="1"/>
    <col min="3072" max="3072" width="10.7109375" style="31" customWidth="1"/>
    <col min="3073" max="3073" width="10.42578125" style="31" customWidth="1"/>
    <col min="3074" max="3074" width="10.5703125" style="31" customWidth="1"/>
    <col min="3075" max="3075" width="10.42578125" style="31" customWidth="1"/>
    <col min="3076" max="3078" width="10.5703125" style="31" customWidth="1"/>
    <col min="3079" max="3081" width="10.42578125" style="31" customWidth="1"/>
    <col min="3082" max="3082" width="10.5703125" style="31" customWidth="1"/>
    <col min="3083" max="3083" width="10.28515625" style="31" customWidth="1"/>
    <col min="3084" max="3084" width="10.140625" style="31" customWidth="1"/>
    <col min="3085" max="3085" width="11.7109375" style="31" customWidth="1"/>
    <col min="3086" max="3086" width="12.42578125" style="31" customWidth="1"/>
    <col min="3087" max="3087" width="11.7109375" style="31" customWidth="1"/>
    <col min="3088" max="3088" width="13.140625" style="31" customWidth="1"/>
    <col min="3089" max="3324" width="9.140625" style="31"/>
    <col min="3325" max="3325" width="3.7109375" style="31" customWidth="1"/>
    <col min="3326" max="3326" width="30.42578125" style="31" customWidth="1"/>
    <col min="3327" max="3327" width="7.140625" style="31" customWidth="1"/>
    <col min="3328" max="3328" width="10.7109375" style="31" customWidth="1"/>
    <col min="3329" max="3329" width="10.42578125" style="31" customWidth="1"/>
    <col min="3330" max="3330" width="10.5703125" style="31" customWidth="1"/>
    <col min="3331" max="3331" width="10.42578125" style="31" customWidth="1"/>
    <col min="3332" max="3334" width="10.5703125" style="31" customWidth="1"/>
    <col min="3335" max="3337" width="10.42578125" style="31" customWidth="1"/>
    <col min="3338" max="3338" width="10.5703125" style="31" customWidth="1"/>
    <col min="3339" max="3339" width="10.28515625" style="31" customWidth="1"/>
    <col min="3340" max="3340" width="10.140625" style="31" customWidth="1"/>
    <col min="3341" max="3341" width="11.7109375" style="31" customWidth="1"/>
    <col min="3342" max="3342" width="12.42578125" style="31" customWidth="1"/>
    <col min="3343" max="3343" width="11.7109375" style="31" customWidth="1"/>
    <col min="3344" max="3344" width="13.140625" style="31" customWidth="1"/>
    <col min="3345" max="3580" width="9.140625" style="31"/>
    <col min="3581" max="3581" width="3.7109375" style="31" customWidth="1"/>
    <col min="3582" max="3582" width="30.42578125" style="31" customWidth="1"/>
    <col min="3583" max="3583" width="7.140625" style="31" customWidth="1"/>
    <col min="3584" max="3584" width="10.7109375" style="31" customWidth="1"/>
    <col min="3585" max="3585" width="10.42578125" style="31" customWidth="1"/>
    <col min="3586" max="3586" width="10.5703125" style="31" customWidth="1"/>
    <col min="3587" max="3587" width="10.42578125" style="31" customWidth="1"/>
    <col min="3588" max="3590" width="10.5703125" style="31" customWidth="1"/>
    <col min="3591" max="3593" width="10.42578125" style="31" customWidth="1"/>
    <col min="3594" max="3594" width="10.5703125" style="31" customWidth="1"/>
    <col min="3595" max="3595" width="10.28515625" style="31" customWidth="1"/>
    <col min="3596" max="3596" width="10.140625" style="31" customWidth="1"/>
    <col min="3597" max="3597" width="11.7109375" style="31" customWidth="1"/>
    <col min="3598" max="3598" width="12.42578125" style="31" customWidth="1"/>
    <col min="3599" max="3599" width="11.7109375" style="31" customWidth="1"/>
    <col min="3600" max="3600" width="13.140625" style="31" customWidth="1"/>
    <col min="3601" max="3836" width="9.140625" style="31"/>
    <col min="3837" max="3837" width="3.7109375" style="31" customWidth="1"/>
    <col min="3838" max="3838" width="30.42578125" style="31" customWidth="1"/>
    <col min="3839" max="3839" width="7.140625" style="31" customWidth="1"/>
    <col min="3840" max="3840" width="10.7109375" style="31" customWidth="1"/>
    <col min="3841" max="3841" width="10.42578125" style="31" customWidth="1"/>
    <col min="3842" max="3842" width="10.5703125" style="31" customWidth="1"/>
    <col min="3843" max="3843" width="10.42578125" style="31" customWidth="1"/>
    <col min="3844" max="3846" width="10.5703125" style="31" customWidth="1"/>
    <col min="3847" max="3849" width="10.42578125" style="31" customWidth="1"/>
    <col min="3850" max="3850" width="10.5703125" style="31" customWidth="1"/>
    <col min="3851" max="3851" width="10.28515625" style="31" customWidth="1"/>
    <col min="3852" max="3852" width="10.140625" style="31" customWidth="1"/>
    <col min="3853" max="3853" width="11.7109375" style="31" customWidth="1"/>
    <col min="3854" max="3854" width="12.42578125" style="31" customWidth="1"/>
    <col min="3855" max="3855" width="11.7109375" style="31" customWidth="1"/>
    <col min="3856" max="3856" width="13.140625" style="31" customWidth="1"/>
    <col min="3857" max="4092" width="9.140625" style="31"/>
    <col min="4093" max="4093" width="3.7109375" style="31" customWidth="1"/>
    <col min="4094" max="4094" width="30.42578125" style="31" customWidth="1"/>
    <col min="4095" max="4095" width="7.140625" style="31" customWidth="1"/>
    <col min="4096" max="4096" width="10.7109375" style="31" customWidth="1"/>
    <col min="4097" max="4097" width="10.42578125" style="31" customWidth="1"/>
    <col min="4098" max="4098" width="10.5703125" style="31" customWidth="1"/>
    <col min="4099" max="4099" width="10.42578125" style="31" customWidth="1"/>
    <col min="4100" max="4102" width="10.5703125" style="31" customWidth="1"/>
    <col min="4103" max="4105" width="10.42578125" style="31" customWidth="1"/>
    <col min="4106" max="4106" width="10.5703125" style="31" customWidth="1"/>
    <col min="4107" max="4107" width="10.28515625" style="31" customWidth="1"/>
    <col min="4108" max="4108" width="10.140625" style="31" customWidth="1"/>
    <col min="4109" max="4109" width="11.7109375" style="31" customWidth="1"/>
    <col min="4110" max="4110" width="12.42578125" style="31" customWidth="1"/>
    <col min="4111" max="4111" width="11.7109375" style="31" customWidth="1"/>
    <col min="4112" max="4112" width="13.140625" style="31" customWidth="1"/>
    <col min="4113" max="4348" width="9.140625" style="31"/>
    <col min="4349" max="4349" width="3.7109375" style="31" customWidth="1"/>
    <col min="4350" max="4350" width="30.42578125" style="31" customWidth="1"/>
    <col min="4351" max="4351" width="7.140625" style="31" customWidth="1"/>
    <col min="4352" max="4352" width="10.7109375" style="31" customWidth="1"/>
    <col min="4353" max="4353" width="10.42578125" style="31" customWidth="1"/>
    <col min="4354" max="4354" width="10.5703125" style="31" customWidth="1"/>
    <col min="4355" max="4355" width="10.42578125" style="31" customWidth="1"/>
    <col min="4356" max="4358" width="10.5703125" style="31" customWidth="1"/>
    <col min="4359" max="4361" width="10.42578125" style="31" customWidth="1"/>
    <col min="4362" max="4362" width="10.5703125" style="31" customWidth="1"/>
    <col min="4363" max="4363" width="10.28515625" style="31" customWidth="1"/>
    <col min="4364" max="4364" width="10.140625" style="31" customWidth="1"/>
    <col min="4365" max="4365" width="11.7109375" style="31" customWidth="1"/>
    <col min="4366" max="4366" width="12.42578125" style="31" customWidth="1"/>
    <col min="4367" max="4367" width="11.7109375" style="31" customWidth="1"/>
    <col min="4368" max="4368" width="13.140625" style="31" customWidth="1"/>
    <col min="4369" max="4604" width="9.140625" style="31"/>
    <col min="4605" max="4605" width="3.7109375" style="31" customWidth="1"/>
    <col min="4606" max="4606" width="30.42578125" style="31" customWidth="1"/>
    <col min="4607" max="4607" width="7.140625" style="31" customWidth="1"/>
    <col min="4608" max="4608" width="10.7109375" style="31" customWidth="1"/>
    <col min="4609" max="4609" width="10.42578125" style="31" customWidth="1"/>
    <col min="4610" max="4610" width="10.5703125" style="31" customWidth="1"/>
    <col min="4611" max="4611" width="10.42578125" style="31" customWidth="1"/>
    <col min="4612" max="4614" width="10.5703125" style="31" customWidth="1"/>
    <col min="4615" max="4617" width="10.42578125" style="31" customWidth="1"/>
    <col min="4618" max="4618" width="10.5703125" style="31" customWidth="1"/>
    <col min="4619" max="4619" width="10.28515625" style="31" customWidth="1"/>
    <col min="4620" max="4620" width="10.140625" style="31" customWidth="1"/>
    <col min="4621" max="4621" width="11.7109375" style="31" customWidth="1"/>
    <col min="4622" max="4622" width="12.42578125" style="31" customWidth="1"/>
    <col min="4623" max="4623" width="11.7109375" style="31" customWidth="1"/>
    <col min="4624" max="4624" width="13.140625" style="31" customWidth="1"/>
    <col min="4625" max="4860" width="9.140625" style="31"/>
    <col min="4861" max="4861" width="3.7109375" style="31" customWidth="1"/>
    <col min="4862" max="4862" width="30.42578125" style="31" customWidth="1"/>
    <col min="4863" max="4863" width="7.140625" style="31" customWidth="1"/>
    <col min="4864" max="4864" width="10.7109375" style="31" customWidth="1"/>
    <col min="4865" max="4865" width="10.42578125" style="31" customWidth="1"/>
    <col min="4866" max="4866" width="10.5703125" style="31" customWidth="1"/>
    <col min="4867" max="4867" width="10.42578125" style="31" customWidth="1"/>
    <col min="4868" max="4870" width="10.5703125" style="31" customWidth="1"/>
    <col min="4871" max="4873" width="10.42578125" style="31" customWidth="1"/>
    <col min="4874" max="4874" width="10.5703125" style="31" customWidth="1"/>
    <col min="4875" max="4875" width="10.28515625" style="31" customWidth="1"/>
    <col min="4876" max="4876" width="10.140625" style="31" customWidth="1"/>
    <col min="4877" max="4877" width="11.7109375" style="31" customWidth="1"/>
    <col min="4878" max="4878" width="12.42578125" style="31" customWidth="1"/>
    <col min="4879" max="4879" width="11.7109375" style="31" customWidth="1"/>
    <col min="4880" max="4880" width="13.140625" style="31" customWidth="1"/>
    <col min="4881" max="5116" width="9.140625" style="31"/>
    <col min="5117" max="5117" width="3.7109375" style="31" customWidth="1"/>
    <col min="5118" max="5118" width="30.42578125" style="31" customWidth="1"/>
    <col min="5119" max="5119" width="7.140625" style="31" customWidth="1"/>
    <col min="5120" max="5120" width="10.7109375" style="31" customWidth="1"/>
    <col min="5121" max="5121" width="10.42578125" style="31" customWidth="1"/>
    <col min="5122" max="5122" width="10.5703125" style="31" customWidth="1"/>
    <col min="5123" max="5123" width="10.42578125" style="31" customWidth="1"/>
    <col min="5124" max="5126" width="10.5703125" style="31" customWidth="1"/>
    <col min="5127" max="5129" width="10.42578125" style="31" customWidth="1"/>
    <col min="5130" max="5130" width="10.5703125" style="31" customWidth="1"/>
    <col min="5131" max="5131" width="10.28515625" style="31" customWidth="1"/>
    <col min="5132" max="5132" width="10.140625" style="31" customWidth="1"/>
    <col min="5133" max="5133" width="11.7109375" style="31" customWidth="1"/>
    <col min="5134" max="5134" width="12.42578125" style="31" customWidth="1"/>
    <col min="5135" max="5135" width="11.7109375" style="31" customWidth="1"/>
    <col min="5136" max="5136" width="13.140625" style="31" customWidth="1"/>
    <col min="5137" max="5372" width="9.140625" style="31"/>
    <col min="5373" max="5373" width="3.7109375" style="31" customWidth="1"/>
    <col min="5374" max="5374" width="30.42578125" style="31" customWidth="1"/>
    <col min="5375" max="5375" width="7.140625" style="31" customWidth="1"/>
    <col min="5376" max="5376" width="10.7109375" style="31" customWidth="1"/>
    <col min="5377" max="5377" width="10.42578125" style="31" customWidth="1"/>
    <col min="5378" max="5378" width="10.5703125" style="31" customWidth="1"/>
    <col min="5379" max="5379" width="10.42578125" style="31" customWidth="1"/>
    <col min="5380" max="5382" width="10.5703125" style="31" customWidth="1"/>
    <col min="5383" max="5385" width="10.42578125" style="31" customWidth="1"/>
    <col min="5386" max="5386" width="10.5703125" style="31" customWidth="1"/>
    <col min="5387" max="5387" width="10.28515625" style="31" customWidth="1"/>
    <col min="5388" max="5388" width="10.140625" style="31" customWidth="1"/>
    <col min="5389" max="5389" width="11.7109375" style="31" customWidth="1"/>
    <col min="5390" max="5390" width="12.42578125" style="31" customWidth="1"/>
    <col min="5391" max="5391" width="11.7109375" style="31" customWidth="1"/>
    <col min="5392" max="5392" width="13.140625" style="31" customWidth="1"/>
    <col min="5393" max="5628" width="9.140625" style="31"/>
    <col min="5629" max="5629" width="3.7109375" style="31" customWidth="1"/>
    <col min="5630" max="5630" width="30.42578125" style="31" customWidth="1"/>
    <col min="5631" max="5631" width="7.140625" style="31" customWidth="1"/>
    <col min="5632" max="5632" width="10.7109375" style="31" customWidth="1"/>
    <col min="5633" max="5633" width="10.42578125" style="31" customWidth="1"/>
    <col min="5634" max="5634" width="10.5703125" style="31" customWidth="1"/>
    <col min="5635" max="5635" width="10.42578125" style="31" customWidth="1"/>
    <col min="5636" max="5638" width="10.5703125" style="31" customWidth="1"/>
    <col min="5639" max="5641" width="10.42578125" style="31" customWidth="1"/>
    <col min="5642" max="5642" width="10.5703125" style="31" customWidth="1"/>
    <col min="5643" max="5643" width="10.28515625" style="31" customWidth="1"/>
    <col min="5644" max="5644" width="10.140625" style="31" customWidth="1"/>
    <col min="5645" max="5645" width="11.7109375" style="31" customWidth="1"/>
    <col min="5646" max="5646" width="12.42578125" style="31" customWidth="1"/>
    <col min="5647" max="5647" width="11.7109375" style="31" customWidth="1"/>
    <col min="5648" max="5648" width="13.140625" style="31" customWidth="1"/>
    <col min="5649" max="5884" width="9.140625" style="31"/>
    <col min="5885" max="5885" width="3.7109375" style="31" customWidth="1"/>
    <col min="5886" max="5886" width="30.42578125" style="31" customWidth="1"/>
    <col min="5887" max="5887" width="7.140625" style="31" customWidth="1"/>
    <col min="5888" max="5888" width="10.7109375" style="31" customWidth="1"/>
    <col min="5889" max="5889" width="10.42578125" style="31" customWidth="1"/>
    <col min="5890" max="5890" width="10.5703125" style="31" customWidth="1"/>
    <col min="5891" max="5891" width="10.42578125" style="31" customWidth="1"/>
    <col min="5892" max="5894" width="10.5703125" style="31" customWidth="1"/>
    <col min="5895" max="5897" width="10.42578125" style="31" customWidth="1"/>
    <col min="5898" max="5898" width="10.5703125" style="31" customWidth="1"/>
    <col min="5899" max="5899" width="10.28515625" style="31" customWidth="1"/>
    <col min="5900" max="5900" width="10.140625" style="31" customWidth="1"/>
    <col min="5901" max="5901" width="11.7109375" style="31" customWidth="1"/>
    <col min="5902" max="5902" width="12.42578125" style="31" customWidth="1"/>
    <col min="5903" max="5903" width="11.7109375" style="31" customWidth="1"/>
    <col min="5904" max="5904" width="13.140625" style="31" customWidth="1"/>
    <col min="5905" max="6140" width="9.140625" style="31"/>
    <col min="6141" max="6141" width="3.7109375" style="31" customWidth="1"/>
    <col min="6142" max="6142" width="30.42578125" style="31" customWidth="1"/>
    <col min="6143" max="6143" width="7.140625" style="31" customWidth="1"/>
    <col min="6144" max="6144" width="10.7109375" style="31" customWidth="1"/>
    <col min="6145" max="6145" width="10.42578125" style="31" customWidth="1"/>
    <col min="6146" max="6146" width="10.5703125" style="31" customWidth="1"/>
    <col min="6147" max="6147" width="10.42578125" style="31" customWidth="1"/>
    <col min="6148" max="6150" width="10.5703125" style="31" customWidth="1"/>
    <col min="6151" max="6153" width="10.42578125" style="31" customWidth="1"/>
    <col min="6154" max="6154" width="10.5703125" style="31" customWidth="1"/>
    <col min="6155" max="6155" width="10.28515625" style="31" customWidth="1"/>
    <col min="6156" max="6156" width="10.140625" style="31" customWidth="1"/>
    <col min="6157" max="6157" width="11.7109375" style="31" customWidth="1"/>
    <col min="6158" max="6158" width="12.42578125" style="31" customWidth="1"/>
    <col min="6159" max="6159" width="11.7109375" style="31" customWidth="1"/>
    <col min="6160" max="6160" width="13.140625" style="31" customWidth="1"/>
    <col min="6161" max="6396" width="9.140625" style="31"/>
    <col min="6397" max="6397" width="3.7109375" style="31" customWidth="1"/>
    <col min="6398" max="6398" width="30.42578125" style="31" customWidth="1"/>
    <col min="6399" max="6399" width="7.140625" style="31" customWidth="1"/>
    <col min="6400" max="6400" width="10.7109375" style="31" customWidth="1"/>
    <col min="6401" max="6401" width="10.42578125" style="31" customWidth="1"/>
    <col min="6402" max="6402" width="10.5703125" style="31" customWidth="1"/>
    <col min="6403" max="6403" width="10.42578125" style="31" customWidth="1"/>
    <col min="6404" max="6406" width="10.5703125" style="31" customWidth="1"/>
    <col min="6407" max="6409" width="10.42578125" style="31" customWidth="1"/>
    <col min="6410" max="6410" width="10.5703125" style="31" customWidth="1"/>
    <col min="6411" max="6411" width="10.28515625" style="31" customWidth="1"/>
    <col min="6412" max="6412" width="10.140625" style="31" customWidth="1"/>
    <col min="6413" max="6413" width="11.7109375" style="31" customWidth="1"/>
    <col min="6414" max="6414" width="12.42578125" style="31" customWidth="1"/>
    <col min="6415" max="6415" width="11.7109375" style="31" customWidth="1"/>
    <col min="6416" max="6416" width="13.140625" style="31" customWidth="1"/>
    <col min="6417" max="6652" width="9.140625" style="31"/>
    <col min="6653" max="6653" width="3.7109375" style="31" customWidth="1"/>
    <col min="6654" max="6654" width="30.42578125" style="31" customWidth="1"/>
    <col min="6655" max="6655" width="7.140625" style="31" customWidth="1"/>
    <col min="6656" max="6656" width="10.7109375" style="31" customWidth="1"/>
    <col min="6657" max="6657" width="10.42578125" style="31" customWidth="1"/>
    <col min="6658" max="6658" width="10.5703125" style="31" customWidth="1"/>
    <col min="6659" max="6659" width="10.42578125" style="31" customWidth="1"/>
    <col min="6660" max="6662" width="10.5703125" style="31" customWidth="1"/>
    <col min="6663" max="6665" width="10.42578125" style="31" customWidth="1"/>
    <col min="6666" max="6666" width="10.5703125" style="31" customWidth="1"/>
    <col min="6667" max="6667" width="10.28515625" style="31" customWidth="1"/>
    <col min="6668" max="6668" width="10.140625" style="31" customWidth="1"/>
    <col min="6669" max="6669" width="11.7109375" style="31" customWidth="1"/>
    <col min="6670" max="6670" width="12.42578125" style="31" customWidth="1"/>
    <col min="6671" max="6671" width="11.7109375" style="31" customWidth="1"/>
    <col min="6672" max="6672" width="13.140625" style="31" customWidth="1"/>
    <col min="6673" max="6908" width="9.140625" style="31"/>
    <col min="6909" max="6909" width="3.7109375" style="31" customWidth="1"/>
    <col min="6910" max="6910" width="30.42578125" style="31" customWidth="1"/>
    <col min="6911" max="6911" width="7.140625" style="31" customWidth="1"/>
    <col min="6912" max="6912" width="10.7109375" style="31" customWidth="1"/>
    <col min="6913" max="6913" width="10.42578125" style="31" customWidth="1"/>
    <col min="6914" max="6914" width="10.5703125" style="31" customWidth="1"/>
    <col min="6915" max="6915" width="10.42578125" style="31" customWidth="1"/>
    <col min="6916" max="6918" width="10.5703125" style="31" customWidth="1"/>
    <col min="6919" max="6921" width="10.42578125" style="31" customWidth="1"/>
    <col min="6922" max="6922" width="10.5703125" style="31" customWidth="1"/>
    <col min="6923" max="6923" width="10.28515625" style="31" customWidth="1"/>
    <col min="6924" max="6924" width="10.140625" style="31" customWidth="1"/>
    <col min="6925" max="6925" width="11.7109375" style="31" customWidth="1"/>
    <col min="6926" max="6926" width="12.42578125" style="31" customWidth="1"/>
    <col min="6927" max="6927" width="11.7109375" style="31" customWidth="1"/>
    <col min="6928" max="6928" width="13.140625" style="31" customWidth="1"/>
    <col min="6929" max="7164" width="9.140625" style="31"/>
    <col min="7165" max="7165" width="3.7109375" style="31" customWidth="1"/>
    <col min="7166" max="7166" width="30.42578125" style="31" customWidth="1"/>
    <col min="7167" max="7167" width="7.140625" style="31" customWidth="1"/>
    <col min="7168" max="7168" width="10.7109375" style="31" customWidth="1"/>
    <col min="7169" max="7169" width="10.42578125" style="31" customWidth="1"/>
    <col min="7170" max="7170" width="10.5703125" style="31" customWidth="1"/>
    <col min="7171" max="7171" width="10.42578125" style="31" customWidth="1"/>
    <col min="7172" max="7174" width="10.5703125" style="31" customWidth="1"/>
    <col min="7175" max="7177" width="10.42578125" style="31" customWidth="1"/>
    <col min="7178" max="7178" width="10.5703125" style="31" customWidth="1"/>
    <col min="7179" max="7179" width="10.28515625" style="31" customWidth="1"/>
    <col min="7180" max="7180" width="10.140625" style="31" customWidth="1"/>
    <col min="7181" max="7181" width="11.7109375" style="31" customWidth="1"/>
    <col min="7182" max="7182" width="12.42578125" style="31" customWidth="1"/>
    <col min="7183" max="7183" width="11.7109375" style="31" customWidth="1"/>
    <col min="7184" max="7184" width="13.140625" style="31" customWidth="1"/>
    <col min="7185" max="7420" width="9.140625" style="31"/>
    <col min="7421" max="7421" width="3.7109375" style="31" customWidth="1"/>
    <col min="7422" max="7422" width="30.42578125" style="31" customWidth="1"/>
    <col min="7423" max="7423" width="7.140625" style="31" customWidth="1"/>
    <col min="7424" max="7424" width="10.7109375" style="31" customWidth="1"/>
    <col min="7425" max="7425" width="10.42578125" style="31" customWidth="1"/>
    <col min="7426" max="7426" width="10.5703125" style="31" customWidth="1"/>
    <col min="7427" max="7427" width="10.42578125" style="31" customWidth="1"/>
    <col min="7428" max="7430" width="10.5703125" style="31" customWidth="1"/>
    <col min="7431" max="7433" width="10.42578125" style="31" customWidth="1"/>
    <col min="7434" max="7434" width="10.5703125" style="31" customWidth="1"/>
    <col min="7435" max="7435" width="10.28515625" style="31" customWidth="1"/>
    <col min="7436" max="7436" width="10.140625" style="31" customWidth="1"/>
    <col min="7437" max="7437" width="11.7109375" style="31" customWidth="1"/>
    <col min="7438" max="7438" width="12.42578125" style="31" customWidth="1"/>
    <col min="7439" max="7439" width="11.7109375" style="31" customWidth="1"/>
    <col min="7440" max="7440" width="13.140625" style="31" customWidth="1"/>
    <col min="7441" max="7676" width="9.140625" style="31"/>
    <col min="7677" max="7677" width="3.7109375" style="31" customWidth="1"/>
    <col min="7678" max="7678" width="30.42578125" style="31" customWidth="1"/>
    <col min="7679" max="7679" width="7.140625" style="31" customWidth="1"/>
    <col min="7680" max="7680" width="10.7109375" style="31" customWidth="1"/>
    <col min="7681" max="7681" width="10.42578125" style="31" customWidth="1"/>
    <col min="7682" max="7682" width="10.5703125" style="31" customWidth="1"/>
    <col min="7683" max="7683" width="10.42578125" style="31" customWidth="1"/>
    <col min="7684" max="7686" width="10.5703125" style="31" customWidth="1"/>
    <col min="7687" max="7689" width="10.42578125" style="31" customWidth="1"/>
    <col min="7690" max="7690" width="10.5703125" style="31" customWidth="1"/>
    <col min="7691" max="7691" width="10.28515625" style="31" customWidth="1"/>
    <col min="7692" max="7692" width="10.140625" style="31" customWidth="1"/>
    <col min="7693" max="7693" width="11.7109375" style="31" customWidth="1"/>
    <col min="7694" max="7694" width="12.42578125" style="31" customWidth="1"/>
    <col min="7695" max="7695" width="11.7109375" style="31" customWidth="1"/>
    <col min="7696" max="7696" width="13.140625" style="31" customWidth="1"/>
    <col min="7697" max="7932" width="9.140625" style="31"/>
    <col min="7933" max="7933" width="3.7109375" style="31" customWidth="1"/>
    <col min="7934" max="7934" width="30.42578125" style="31" customWidth="1"/>
    <col min="7935" max="7935" width="7.140625" style="31" customWidth="1"/>
    <col min="7936" max="7936" width="10.7109375" style="31" customWidth="1"/>
    <col min="7937" max="7937" width="10.42578125" style="31" customWidth="1"/>
    <col min="7938" max="7938" width="10.5703125" style="31" customWidth="1"/>
    <col min="7939" max="7939" width="10.42578125" style="31" customWidth="1"/>
    <col min="7940" max="7942" width="10.5703125" style="31" customWidth="1"/>
    <col min="7943" max="7945" width="10.42578125" style="31" customWidth="1"/>
    <col min="7946" max="7946" width="10.5703125" style="31" customWidth="1"/>
    <col min="7947" max="7947" width="10.28515625" style="31" customWidth="1"/>
    <col min="7948" max="7948" width="10.140625" style="31" customWidth="1"/>
    <col min="7949" max="7949" width="11.7109375" style="31" customWidth="1"/>
    <col min="7950" max="7950" width="12.42578125" style="31" customWidth="1"/>
    <col min="7951" max="7951" width="11.7109375" style="31" customWidth="1"/>
    <col min="7952" max="7952" width="13.140625" style="31" customWidth="1"/>
    <col min="7953" max="8188" width="9.140625" style="31"/>
    <col min="8189" max="8189" width="3.7109375" style="31" customWidth="1"/>
    <col min="8190" max="8190" width="30.42578125" style="31" customWidth="1"/>
    <col min="8191" max="8191" width="7.140625" style="31" customWidth="1"/>
    <col min="8192" max="8192" width="10.7109375" style="31" customWidth="1"/>
    <col min="8193" max="8193" width="10.42578125" style="31" customWidth="1"/>
    <col min="8194" max="8194" width="10.5703125" style="31" customWidth="1"/>
    <col min="8195" max="8195" width="10.42578125" style="31" customWidth="1"/>
    <col min="8196" max="8198" width="10.5703125" style="31" customWidth="1"/>
    <col min="8199" max="8201" width="10.42578125" style="31" customWidth="1"/>
    <col min="8202" max="8202" width="10.5703125" style="31" customWidth="1"/>
    <col min="8203" max="8203" width="10.28515625" style="31" customWidth="1"/>
    <col min="8204" max="8204" width="10.140625" style="31" customWidth="1"/>
    <col min="8205" max="8205" width="11.7109375" style="31" customWidth="1"/>
    <col min="8206" max="8206" width="12.42578125" style="31" customWidth="1"/>
    <col min="8207" max="8207" width="11.7109375" style="31" customWidth="1"/>
    <col min="8208" max="8208" width="13.140625" style="31" customWidth="1"/>
    <col min="8209" max="8444" width="9.140625" style="31"/>
    <col min="8445" max="8445" width="3.7109375" style="31" customWidth="1"/>
    <col min="8446" max="8446" width="30.42578125" style="31" customWidth="1"/>
    <col min="8447" max="8447" width="7.140625" style="31" customWidth="1"/>
    <col min="8448" max="8448" width="10.7109375" style="31" customWidth="1"/>
    <col min="8449" max="8449" width="10.42578125" style="31" customWidth="1"/>
    <col min="8450" max="8450" width="10.5703125" style="31" customWidth="1"/>
    <col min="8451" max="8451" width="10.42578125" style="31" customWidth="1"/>
    <col min="8452" max="8454" width="10.5703125" style="31" customWidth="1"/>
    <col min="8455" max="8457" width="10.42578125" style="31" customWidth="1"/>
    <col min="8458" max="8458" width="10.5703125" style="31" customWidth="1"/>
    <col min="8459" max="8459" width="10.28515625" style="31" customWidth="1"/>
    <col min="8460" max="8460" width="10.140625" style="31" customWidth="1"/>
    <col min="8461" max="8461" width="11.7109375" style="31" customWidth="1"/>
    <col min="8462" max="8462" width="12.42578125" style="31" customWidth="1"/>
    <col min="8463" max="8463" width="11.7109375" style="31" customWidth="1"/>
    <col min="8464" max="8464" width="13.140625" style="31" customWidth="1"/>
    <col min="8465" max="8700" width="9.140625" style="31"/>
    <col min="8701" max="8701" width="3.7109375" style="31" customWidth="1"/>
    <col min="8702" max="8702" width="30.42578125" style="31" customWidth="1"/>
    <col min="8703" max="8703" width="7.140625" style="31" customWidth="1"/>
    <col min="8704" max="8704" width="10.7109375" style="31" customWidth="1"/>
    <col min="8705" max="8705" width="10.42578125" style="31" customWidth="1"/>
    <col min="8706" max="8706" width="10.5703125" style="31" customWidth="1"/>
    <col min="8707" max="8707" width="10.42578125" style="31" customWidth="1"/>
    <col min="8708" max="8710" width="10.5703125" style="31" customWidth="1"/>
    <col min="8711" max="8713" width="10.42578125" style="31" customWidth="1"/>
    <col min="8714" max="8714" width="10.5703125" style="31" customWidth="1"/>
    <col min="8715" max="8715" width="10.28515625" style="31" customWidth="1"/>
    <col min="8716" max="8716" width="10.140625" style="31" customWidth="1"/>
    <col min="8717" max="8717" width="11.7109375" style="31" customWidth="1"/>
    <col min="8718" max="8718" width="12.42578125" style="31" customWidth="1"/>
    <col min="8719" max="8719" width="11.7109375" style="31" customWidth="1"/>
    <col min="8720" max="8720" width="13.140625" style="31" customWidth="1"/>
    <col min="8721" max="8956" width="9.140625" style="31"/>
    <col min="8957" max="8957" width="3.7109375" style="31" customWidth="1"/>
    <col min="8958" max="8958" width="30.42578125" style="31" customWidth="1"/>
    <col min="8959" max="8959" width="7.140625" style="31" customWidth="1"/>
    <col min="8960" max="8960" width="10.7109375" style="31" customWidth="1"/>
    <col min="8961" max="8961" width="10.42578125" style="31" customWidth="1"/>
    <col min="8962" max="8962" width="10.5703125" style="31" customWidth="1"/>
    <col min="8963" max="8963" width="10.42578125" style="31" customWidth="1"/>
    <col min="8964" max="8966" width="10.5703125" style="31" customWidth="1"/>
    <col min="8967" max="8969" width="10.42578125" style="31" customWidth="1"/>
    <col min="8970" max="8970" width="10.5703125" style="31" customWidth="1"/>
    <col min="8971" max="8971" width="10.28515625" style="31" customWidth="1"/>
    <col min="8972" max="8972" width="10.140625" style="31" customWidth="1"/>
    <col min="8973" max="8973" width="11.7109375" style="31" customWidth="1"/>
    <col min="8974" max="8974" width="12.42578125" style="31" customWidth="1"/>
    <col min="8975" max="8975" width="11.7109375" style="31" customWidth="1"/>
    <col min="8976" max="8976" width="13.140625" style="31" customWidth="1"/>
    <col min="8977" max="9212" width="9.140625" style="31"/>
    <col min="9213" max="9213" width="3.7109375" style="31" customWidth="1"/>
    <col min="9214" max="9214" width="30.42578125" style="31" customWidth="1"/>
    <col min="9215" max="9215" width="7.140625" style="31" customWidth="1"/>
    <col min="9216" max="9216" width="10.7109375" style="31" customWidth="1"/>
    <col min="9217" max="9217" width="10.42578125" style="31" customWidth="1"/>
    <col min="9218" max="9218" width="10.5703125" style="31" customWidth="1"/>
    <col min="9219" max="9219" width="10.42578125" style="31" customWidth="1"/>
    <col min="9220" max="9222" width="10.5703125" style="31" customWidth="1"/>
    <col min="9223" max="9225" width="10.42578125" style="31" customWidth="1"/>
    <col min="9226" max="9226" width="10.5703125" style="31" customWidth="1"/>
    <col min="9227" max="9227" width="10.28515625" style="31" customWidth="1"/>
    <col min="9228" max="9228" width="10.140625" style="31" customWidth="1"/>
    <col min="9229" max="9229" width="11.7109375" style="31" customWidth="1"/>
    <col min="9230" max="9230" width="12.42578125" style="31" customWidth="1"/>
    <col min="9231" max="9231" width="11.7109375" style="31" customWidth="1"/>
    <col min="9232" max="9232" width="13.140625" style="31" customWidth="1"/>
    <col min="9233" max="9468" width="9.140625" style="31"/>
    <col min="9469" max="9469" width="3.7109375" style="31" customWidth="1"/>
    <col min="9470" max="9470" width="30.42578125" style="31" customWidth="1"/>
    <col min="9471" max="9471" width="7.140625" style="31" customWidth="1"/>
    <col min="9472" max="9472" width="10.7109375" style="31" customWidth="1"/>
    <col min="9473" max="9473" width="10.42578125" style="31" customWidth="1"/>
    <col min="9474" max="9474" width="10.5703125" style="31" customWidth="1"/>
    <col min="9475" max="9475" width="10.42578125" style="31" customWidth="1"/>
    <col min="9476" max="9478" width="10.5703125" style="31" customWidth="1"/>
    <col min="9479" max="9481" width="10.42578125" style="31" customWidth="1"/>
    <col min="9482" max="9482" width="10.5703125" style="31" customWidth="1"/>
    <col min="9483" max="9483" width="10.28515625" style="31" customWidth="1"/>
    <col min="9484" max="9484" width="10.140625" style="31" customWidth="1"/>
    <col min="9485" max="9485" width="11.7109375" style="31" customWidth="1"/>
    <col min="9486" max="9486" width="12.42578125" style="31" customWidth="1"/>
    <col min="9487" max="9487" width="11.7109375" style="31" customWidth="1"/>
    <col min="9488" max="9488" width="13.140625" style="31" customWidth="1"/>
    <col min="9489" max="9724" width="9.140625" style="31"/>
    <col min="9725" max="9725" width="3.7109375" style="31" customWidth="1"/>
    <col min="9726" max="9726" width="30.42578125" style="31" customWidth="1"/>
    <col min="9727" max="9727" width="7.140625" style="31" customWidth="1"/>
    <col min="9728" max="9728" width="10.7109375" style="31" customWidth="1"/>
    <col min="9729" max="9729" width="10.42578125" style="31" customWidth="1"/>
    <col min="9730" max="9730" width="10.5703125" style="31" customWidth="1"/>
    <col min="9731" max="9731" width="10.42578125" style="31" customWidth="1"/>
    <col min="9732" max="9734" width="10.5703125" style="31" customWidth="1"/>
    <col min="9735" max="9737" width="10.42578125" style="31" customWidth="1"/>
    <col min="9738" max="9738" width="10.5703125" style="31" customWidth="1"/>
    <col min="9739" max="9739" width="10.28515625" style="31" customWidth="1"/>
    <col min="9740" max="9740" width="10.140625" style="31" customWidth="1"/>
    <col min="9741" max="9741" width="11.7109375" style="31" customWidth="1"/>
    <col min="9742" max="9742" width="12.42578125" style="31" customWidth="1"/>
    <col min="9743" max="9743" width="11.7109375" style="31" customWidth="1"/>
    <col min="9744" max="9744" width="13.140625" style="31" customWidth="1"/>
    <col min="9745" max="9980" width="9.140625" style="31"/>
    <col min="9981" max="9981" width="3.7109375" style="31" customWidth="1"/>
    <col min="9982" max="9982" width="30.42578125" style="31" customWidth="1"/>
    <col min="9983" max="9983" width="7.140625" style="31" customWidth="1"/>
    <col min="9984" max="9984" width="10.7109375" style="31" customWidth="1"/>
    <col min="9985" max="9985" width="10.42578125" style="31" customWidth="1"/>
    <col min="9986" max="9986" width="10.5703125" style="31" customWidth="1"/>
    <col min="9987" max="9987" width="10.42578125" style="31" customWidth="1"/>
    <col min="9988" max="9990" width="10.5703125" style="31" customWidth="1"/>
    <col min="9991" max="9993" width="10.42578125" style="31" customWidth="1"/>
    <col min="9994" max="9994" width="10.5703125" style="31" customWidth="1"/>
    <col min="9995" max="9995" width="10.28515625" style="31" customWidth="1"/>
    <col min="9996" max="9996" width="10.140625" style="31" customWidth="1"/>
    <col min="9997" max="9997" width="11.7109375" style="31" customWidth="1"/>
    <col min="9998" max="9998" width="12.42578125" style="31" customWidth="1"/>
    <col min="9999" max="9999" width="11.7109375" style="31" customWidth="1"/>
    <col min="10000" max="10000" width="13.140625" style="31" customWidth="1"/>
    <col min="10001" max="10236" width="9.140625" style="31"/>
    <col min="10237" max="10237" width="3.7109375" style="31" customWidth="1"/>
    <col min="10238" max="10238" width="30.42578125" style="31" customWidth="1"/>
    <col min="10239" max="10239" width="7.140625" style="31" customWidth="1"/>
    <col min="10240" max="10240" width="10.7109375" style="31" customWidth="1"/>
    <col min="10241" max="10241" width="10.42578125" style="31" customWidth="1"/>
    <col min="10242" max="10242" width="10.5703125" style="31" customWidth="1"/>
    <col min="10243" max="10243" width="10.42578125" style="31" customWidth="1"/>
    <col min="10244" max="10246" width="10.5703125" style="31" customWidth="1"/>
    <col min="10247" max="10249" width="10.42578125" style="31" customWidth="1"/>
    <col min="10250" max="10250" width="10.5703125" style="31" customWidth="1"/>
    <col min="10251" max="10251" width="10.28515625" style="31" customWidth="1"/>
    <col min="10252" max="10252" width="10.140625" style="31" customWidth="1"/>
    <col min="10253" max="10253" width="11.7109375" style="31" customWidth="1"/>
    <col min="10254" max="10254" width="12.42578125" style="31" customWidth="1"/>
    <col min="10255" max="10255" width="11.7109375" style="31" customWidth="1"/>
    <col min="10256" max="10256" width="13.140625" style="31" customWidth="1"/>
    <col min="10257" max="10492" width="9.140625" style="31"/>
    <col min="10493" max="10493" width="3.7109375" style="31" customWidth="1"/>
    <col min="10494" max="10494" width="30.42578125" style="31" customWidth="1"/>
    <col min="10495" max="10495" width="7.140625" style="31" customWidth="1"/>
    <col min="10496" max="10496" width="10.7109375" style="31" customWidth="1"/>
    <col min="10497" max="10497" width="10.42578125" style="31" customWidth="1"/>
    <col min="10498" max="10498" width="10.5703125" style="31" customWidth="1"/>
    <col min="10499" max="10499" width="10.42578125" style="31" customWidth="1"/>
    <col min="10500" max="10502" width="10.5703125" style="31" customWidth="1"/>
    <col min="10503" max="10505" width="10.42578125" style="31" customWidth="1"/>
    <col min="10506" max="10506" width="10.5703125" style="31" customWidth="1"/>
    <col min="10507" max="10507" width="10.28515625" style="31" customWidth="1"/>
    <col min="10508" max="10508" width="10.140625" style="31" customWidth="1"/>
    <col min="10509" max="10509" width="11.7109375" style="31" customWidth="1"/>
    <col min="10510" max="10510" width="12.42578125" style="31" customWidth="1"/>
    <col min="10511" max="10511" width="11.7109375" style="31" customWidth="1"/>
    <col min="10512" max="10512" width="13.140625" style="31" customWidth="1"/>
    <col min="10513" max="10748" width="9.140625" style="31"/>
    <col min="10749" max="10749" width="3.7109375" style="31" customWidth="1"/>
    <col min="10750" max="10750" width="30.42578125" style="31" customWidth="1"/>
    <col min="10751" max="10751" width="7.140625" style="31" customWidth="1"/>
    <col min="10752" max="10752" width="10.7109375" style="31" customWidth="1"/>
    <col min="10753" max="10753" width="10.42578125" style="31" customWidth="1"/>
    <col min="10754" max="10754" width="10.5703125" style="31" customWidth="1"/>
    <col min="10755" max="10755" width="10.42578125" style="31" customWidth="1"/>
    <col min="10756" max="10758" width="10.5703125" style="31" customWidth="1"/>
    <col min="10759" max="10761" width="10.42578125" style="31" customWidth="1"/>
    <col min="10762" max="10762" width="10.5703125" style="31" customWidth="1"/>
    <col min="10763" max="10763" width="10.28515625" style="31" customWidth="1"/>
    <col min="10764" max="10764" width="10.140625" style="31" customWidth="1"/>
    <col min="10765" max="10765" width="11.7109375" style="31" customWidth="1"/>
    <col min="10766" max="10766" width="12.42578125" style="31" customWidth="1"/>
    <col min="10767" max="10767" width="11.7109375" style="31" customWidth="1"/>
    <col min="10768" max="10768" width="13.140625" style="31" customWidth="1"/>
    <col min="10769" max="11004" width="9.140625" style="31"/>
    <col min="11005" max="11005" width="3.7109375" style="31" customWidth="1"/>
    <col min="11006" max="11006" width="30.42578125" style="31" customWidth="1"/>
    <col min="11007" max="11007" width="7.140625" style="31" customWidth="1"/>
    <col min="11008" max="11008" width="10.7109375" style="31" customWidth="1"/>
    <col min="11009" max="11009" width="10.42578125" style="31" customWidth="1"/>
    <col min="11010" max="11010" width="10.5703125" style="31" customWidth="1"/>
    <col min="11011" max="11011" width="10.42578125" style="31" customWidth="1"/>
    <col min="11012" max="11014" width="10.5703125" style="31" customWidth="1"/>
    <col min="11015" max="11017" width="10.42578125" style="31" customWidth="1"/>
    <col min="11018" max="11018" width="10.5703125" style="31" customWidth="1"/>
    <col min="11019" max="11019" width="10.28515625" style="31" customWidth="1"/>
    <col min="11020" max="11020" width="10.140625" style="31" customWidth="1"/>
    <col min="11021" max="11021" width="11.7109375" style="31" customWidth="1"/>
    <col min="11022" max="11022" width="12.42578125" style="31" customWidth="1"/>
    <col min="11023" max="11023" width="11.7109375" style="31" customWidth="1"/>
    <col min="11024" max="11024" width="13.140625" style="31" customWidth="1"/>
    <col min="11025" max="11260" width="9.140625" style="31"/>
    <col min="11261" max="11261" width="3.7109375" style="31" customWidth="1"/>
    <col min="11262" max="11262" width="30.42578125" style="31" customWidth="1"/>
    <col min="11263" max="11263" width="7.140625" style="31" customWidth="1"/>
    <col min="11264" max="11264" width="10.7109375" style="31" customWidth="1"/>
    <col min="11265" max="11265" width="10.42578125" style="31" customWidth="1"/>
    <col min="11266" max="11266" width="10.5703125" style="31" customWidth="1"/>
    <col min="11267" max="11267" width="10.42578125" style="31" customWidth="1"/>
    <col min="11268" max="11270" width="10.5703125" style="31" customWidth="1"/>
    <col min="11271" max="11273" width="10.42578125" style="31" customWidth="1"/>
    <col min="11274" max="11274" width="10.5703125" style="31" customWidth="1"/>
    <col min="11275" max="11275" width="10.28515625" style="31" customWidth="1"/>
    <col min="11276" max="11276" width="10.140625" style="31" customWidth="1"/>
    <col min="11277" max="11277" width="11.7109375" style="31" customWidth="1"/>
    <col min="11278" max="11278" width="12.42578125" style="31" customWidth="1"/>
    <col min="11279" max="11279" width="11.7109375" style="31" customWidth="1"/>
    <col min="11280" max="11280" width="13.140625" style="31" customWidth="1"/>
    <col min="11281" max="11516" width="9.140625" style="31"/>
    <col min="11517" max="11517" width="3.7109375" style="31" customWidth="1"/>
    <col min="11518" max="11518" width="30.42578125" style="31" customWidth="1"/>
    <col min="11519" max="11519" width="7.140625" style="31" customWidth="1"/>
    <col min="11520" max="11520" width="10.7109375" style="31" customWidth="1"/>
    <col min="11521" max="11521" width="10.42578125" style="31" customWidth="1"/>
    <col min="11522" max="11522" width="10.5703125" style="31" customWidth="1"/>
    <col min="11523" max="11523" width="10.42578125" style="31" customWidth="1"/>
    <col min="11524" max="11526" width="10.5703125" style="31" customWidth="1"/>
    <col min="11527" max="11529" width="10.42578125" style="31" customWidth="1"/>
    <col min="11530" max="11530" width="10.5703125" style="31" customWidth="1"/>
    <col min="11531" max="11531" width="10.28515625" style="31" customWidth="1"/>
    <col min="11532" max="11532" width="10.140625" style="31" customWidth="1"/>
    <col min="11533" max="11533" width="11.7109375" style="31" customWidth="1"/>
    <col min="11534" max="11534" width="12.42578125" style="31" customWidth="1"/>
    <col min="11535" max="11535" width="11.7109375" style="31" customWidth="1"/>
    <col min="11536" max="11536" width="13.140625" style="31" customWidth="1"/>
    <col min="11537" max="11772" width="9.140625" style="31"/>
    <col min="11773" max="11773" width="3.7109375" style="31" customWidth="1"/>
    <col min="11774" max="11774" width="30.42578125" style="31" customWidth="1"/>
    <col min="11775" max="11775" width="7.140625" style="31" customWidth="1"/>
    <col min="11776" max="11776" width="10.7109375" style="31" customWidth="1"/>
    <col min="11777" max="11777" width="10.42578125" style="31" customWidth="1"/>
    <col min="11778" max="11778" width="10.5703125" style="31" customWidth="1"/>
    <col min="11779" max="11779" width="10.42578125" style="31" customWidth="1"/>
    <col min="11780" max="11782" width="10.5703125" style="31" customWidth="1"/>
    <col min="11783" max="11785" width="10.42578125" style="31" customWidth="1"/>
    <col min="11786" max="11786" width="10.5703125" style="31" customWidth="1"/>
    <col min="11787" max="11787" width="10.28515625" style="31" customWidth="1"/>
    <col min="11788" max="11788" width="10.140625" style="31" customWidth="1"/>
    <col min="11789" max="11789" width="11.7109375" style="31" customWidth="1"/>
    <col min="11790" max="11790" width="12.42578125" style="31" customWidth="1"/>
    <col min="11791" max="11791" width="11.7109375" style="31" customWidth="1"/>
    <col min="11792" max="11792" width="13.140625" style="31" customWidth="1"/>
    <col min="11793" max="12028" width="9.140625" style="31"/>
    <col min="12029" max="12029" width="3.7109375" style="31" customWidth="1"/>
    <col min="12030" max="12030" width="30.42578125" style="31" customWidth="1"/>
    <col min="12031" max="12031" width="7.140625" style="31" customWidth="1"/>
    <col min="12032" max="12032" width="10.7109375" style="31" customWidth="1"/>
    <col min="12033" max="12033" width="10.42578125" style="31" customWidth="1"/>
    <col min="12034" max="12034" width="10.5703125" style="31" customWidth="1"/>
    <col min="12035" max="12035" width="10.42578125" style="31" customWidth="1"/>
    <col min="12036" max="12038" width="10.5703125" style="31" customWidth="1"/>
    <col min="12039" max="12041" width="10.42578125" style="31" customWidth="1"/>
    <col min="12042" max="12042" width="10.5703125" style="31" customWidth="1"/>
    <col min="12043" max="12043" width="10.28515625" style="31" customWidth="1"/>
    <col min="12044" max="12044" width="10.140625" style="31" customWidth="1"/>
    <col min="12045" max="12045" width="11.7109375" style="31" customWidth="1"/>
    <col min="12046" max="12046" width="12.42578125" style="31" customWidth="1"/>
    <col min="12047" max="12047" width="11.7109375" style="31" customWidth="1"/>
    <col min="12048" max="12048" width="13.140625" style="31" customWidth="1"/>
    <col min="12049" max="12284" width="9.140625" style="31"/>
    <col min="12285" max="12285" width="3.7109375" style="31" customWidth="1"/>
    <col min="12286" max="12286" width="30.42578125" style="31" customWidth="1"/>
    <col min="12287" max="12287" width="7.140625" style="31" customWidth="1"/>
    <col min="12288" max="12288" width="10.7109375" style="31" customWidth="1"/>
    <col min="12289" max="12289" width="10.42578125" style="31" customWidth="1"/>
    <col min="12290" max="12290" width="10.5703125" style="31" customWidth="1"/>
    <col min="12291" max="12291" width="10.42578125" style="31" customWidth="1"/>
    <col min="12292" max="12294" width="10.5703125" style="31" customWidth="1"/>
    <col min="12295" max="12297" width="10.42578125" style="31" customWidth="1"/>
    <col min="12298" max="12298" width="10.5703125" style="31" customWidth="1"/>
    <col min="12299" max="12299" width="10.28515625" style="31" customWidth="1"/>
    <col min="12300" max="12300" width="10.140625" style="31" customWidth="1"/>
    <col min="12301" max="12301" width="11.7109375" style="31" customWidth="1"/>
    <col min="12302" max="12302" width="12.42578125" style="31" customWidth="1"/>
    <col min="12303" max="12303" width="11.7109375" style="31" customWidth="1"/>
    <col min="12304" max="12304" width="13.140625" style="31" customWidth="1"/>
    <col min="12305" max="12540" width="9.140625" style="31"/>
    <col min="12541" max="12541" width="3.7109375" style="31" customWidth="1"/>
    <col min="12542" max="12542" width="30.42578125" style="31" customWidth="1"/>
    <col min="12543" max="12543" width="7.140625" style="31" customWidth="1"/>
    <col min="12544" max="12544" width="10.7109375" style="31" customWidth="1"/>
    <col min="12545" max="12545" width="10.42578125" style="31" customWidth="1"/>
    <col min="12546" max="12546" width="10.5703125" style="31" customWidth="1"/>
    <col min="12547" max="12547" width="10.42578125" style="31" customWidth="1"/>
    <col min="12548" max="12550" width="10.5703125" style="31" customWidth="1"/>
    <col min="12551" max="12553" width="10.42578125" style="31" customWidth="1"/>
    <col min="12554" max="12554" width="10.5703125" style="31" customWidth="1"/>
    <col min="12555" max="12555" width="10.28515625" style="31" customWidth="1"/>
    <col min="12556" max="12556" width="10.140625" style="31" customWidth="1"/>
    <col min="12557" max="12557" width="11.7109375" style="31" customWidth="1"/>
    <col min="12558" max="12558" width="12.42578125" style="31" customWidth="1"/>
    <col min="12559" max="12559" width="11.7109375" style="31" customWidth="1"/>
    <col min="12560" max="12560" width="13.140625" style="31" customWidth="1"/>
    <col min="12561" max="12796" width="9.140625" style="31"/>
    <col min="12797" max="12797" width="3.7109375" style="31" customWidth="1"/>
    <col min="12798" max="12798" width="30.42578125" style="31" customWidth="1"/>
    <col min="12799" max="12799" width="7.140625" style="31" customWidth="1"/>
    <col min="12800" max="12800" width="10.7109375" style="31" customWidth="1"/>
    <col min="12801" max="12801" width="10.42578125" style="31" customWidth="1"/>
    <col min="12802" max="12802" width="10.5703125" style="31" customWidth="1"/>
    <col min="12803" max="12803" width="10.42578125" style="31" customWidth="1"/>
    <col min="12804" max="12806" width="10.5703125" style="31" customWidth="1"/>
    <col min="12807" max="12809" width="10.42578125" style="31" customWidth="1"/>
    <col min="12810" max="12810" width="10.5703125" style="31" customWidth="1"/>
    <col min="12811" max="12811" width="10.28515625" style="31" customWidth="1"/>
    <col min="12812" max="12812" width="10.140625" style="31" customWidth="1"/>
    <col min="12813" max="12813" width="11.7109375" style="31" customWidth="1"/>
    <col min="12814" max="12814" width="12.42578125" style="31" customWidth="1"/>
    <col min="12815" max="12815" width="11.7109375" style="31" customWidth="1"/>
    <col min="12816" max="12816" width="13.140625" style="31" customWidth="1"/>
    <col min="12817" max="13052" width="9.140625" style="31"/>
    <col min="13053" max="13053" width="3.7109375" style="31" customWidth="1"/>
    <col min="13054" max="13054" width="30.42578125" style="31" customWidth="1"/>
    <col min="13055" max="13055" width="7.140625" style="31" customWidth="1"/>
    <col min="13056" max="13056" width="10.7109375" style="31" customWidth="1"/>
    <col min="13057" max="13057" width="10.42578125" style="31" customWidth="1"/>
    <col min="13058" max="13058" width="10.5703125" style="31" customWidth="1"/>
    <col min="13059" max="13059" width="10.42578125" style="31" customWidth="1"/>
    <col min="13060" max="13062" width="10.5703125" style="31" customWidth="1"/>
    <col min="13063" max="13065" width="10.42578125" style="31" customWidth="1"/>
    <col min="13066" max="13066" width="10.5703125" style="31" customWidth="1"/>
    <col min="13067" max="13067" width="10.28515625" style="31" customWidth="1"/>
    <col min="13068" max="13068" width="10.140625" style="31" customWidth="1"/>
    <col min="13069" max="13069" width="11.7109375" style="31" customWidth="1"/>
    <col min="13070" max="13070" width="12.42578125" style="31" customWidth="1"/>
    <col min="13071" max="13071" width="11.7109375" style="31" customWidth="1"/>
    <col min="13072" max="13072" width="13.140625" style="31" customWidth="1"/>
    <col min="13073" max="13308" width="9.140625" style="31"/>
    <col min="13309" max="13309" width="3.7109375" style="31" customWidth="1"/>
    <col min="13310" max="13310" width="30.42578125" style="31" customWidth="1"/>
    <col min="13311" max="13311" width="7.140625" style="31" customWidth="1"/>
    <col min="13312" max="13312" width="10.7109375" style="31" customWidth="1"/>
    <col min="13313" max="13313" width="10.42578125" style="31" customWidth="1"/>
    <col min="13314" max="13314" width="10.5703125" style="31" customWidth="1"/>
    <col min="13315" max="13315" width="10.42578125" style="31" customWidth="1"/>
    <col min="13316" max="13318" width="10.5703125" style="31" customWidth="1"/>
    <col min="13319" max="13321" width="10.42578125" style="31" customWidth="1"/>
    <col min="13322" max="13322" width="10.5703125" style="31" customWidth="1"/>
    <col min="13323" max="13323" width="10.28515625" style="31" customWidth="1"/>
    <col min="13324" max="13324" width="10.140625" style="31" customWidth="1"/>
    <col min="13325" max="13325" width="11.7109375" style="31" customWidth="1"/>
    <col min="13326" max="13326" width="12.42578125" style="31" customWidth="1"/>
    <col min="13327" max="13327" width="11.7109375" style="31" customWidth="1"/>
    <col min="13328" max="13328" width="13.140625" style="31" customWidth="1"/>
    <col min="13329" max="13564" width="9.140625" style="31"/>
    <col min="13565" max="13565" width="3.7109375" style="31" customWidth="1"/>
    <col min="13566" max="13566" width="30.42578125" style="31" customWidth="1"/>
    <col min="13567" max="13567" width="7.140625" style="31" customWidth="1"/>
    <col min="13568" max="13568" width="10.7109375" style="31" customWidth="1"/>
    <col min="13569" max="13569" width="10.42578125" style="31" customWidth="1"/>
    <col min="13570" max="13570" width="10.5703125" style="31" customWidth="1"/>
    <col min="13571" max="13571" width="10.42578125" style="31" customWidth="1"/>
    <col min="13572" max="13574" width="10.5703125" style="31" customWidth="1"/>
    <col min="13575" max="13577" width="10.42578125" style="31" customWidth="1"/>
    <col min="13578" max="13578" width="10.5703125" style="31" customWidth="1"/>
    <col min="13579" max="13579" width="10.28515625" style="31" customWidth="1"/>
    <col min="13580" max="13580" width="10.140625" style="31" customWidth="1"/>
    <col min="13581" max="13581" width="11.7109375" style="31" customWidth="1"/>
    <col min="13582" max="13582" width="12.42578125" style="31" customWidth="1"/>
    <col min="13583" max="13583" width="11.7109375" style="31" customWidth="1"/>
    <col min="13584" max="13584" width="13.140625" style="31" customWidth="1"/>
    <col min="13585" max="13820" width="9.140625" style="31"/>
    <col min="13821" max="13821" width="3.7109375" style="31" customWidth="1"/>
    <col min="13822" max="13822" width="30.42578125" style="31" customWidth="1"/>
    <col min="13823" max="13823" width="7.140625" style="31" customWidth="1"/>
    <col min="13824" max="13824" width="10.7109375" style="31" customWidth="1"/>
    <col min="13825" max="13825" width="10.42578125" style="31" customWidth="1"/>
    <col min="13826" max="13826" width="10.5703125" style="31" customWidth="1"/>
    <col min="13827" max="13827" width="10.42578125" style="31" customWidth="1"/>
    <col min="13828" max="13830" width="10.5703125" style="31" customWidth="1"/>
    <col min="13831" max="13833" width="10.42578125" style="31" customWidth="1"/>
    <col min="13834" max="13834" width="10.5703125" style="31" customWidth="1"/>
    <col min="13835" max="13835" width="10.28515625" style="31" customWidth="1"/>
    <col min="13836" max="13836" width="10.140625" style="31" customWidth="1"/>
    <col min="13837" max="13837" width="11.7109375" style="31" customWidth="1"/>
    <col min="13838" max="13838" width="12.42578125" style="31" customWidth="1"/>
    <col min="13839" max="13839" width="11.7109375" style="31" customWidth="1"/>
    <col min="13840" max="13840" width="13.140625" style="31" customWidth="1"/>
    <col min="13841" max="14076" width="9.140625" style="31"/>
    <col min="14077" max="14077" width="3.7109375" style="31" customWidth="1"/>
    <col min="14078" max="14078" width="30.42578125" style="31" customWidth="1"/>
    <col min="14079" max="14079" width="7.140625" style="31" customWidth="1"/>
    <col min="14080" max="14080" width="10.7109375" style="31" customWidth="1"/>
    <col min="14081" max="14081" width="10.42578125" style="31" customWidth="1"/>
    <col min="14082" max="14082" width="10.5703125" style="31" customWidth="1"/>
    <col min="14083" max="14083" width="10.42578125" style="31" customWidth="1"/>
    <col min="14084" max="14086" width="10.5703125" style="31" customWidth="1"/>
    <col min="14087" max="14089" width="10.42578125" style="31" customWidth="1"/>
    <col min="14090" max="14090" width="10.5703125" style="31" customWidth="1"/>
    <col min="14091" max="14091" width="10.28515625" style="31" customWidth="1"/>
    <col min="14092" max="14092" width="10.140625" style="31" customWidth="1"/>
    <col min="14093" max="14093" width="11.7109375" style="31" customWidth="1"/>
    <col min="14094" max="14094" width="12.42578125" style="31" customWidth="1"/>
    <col min="14095" max="14095" width="11.7109375" style="31" customWidth="1"/>
    <col min="14096" max="14096" width="13.140625" style="31" customWidth="1"/>
    <col min="14097" max="14332" width="9.140625" style="31"/>
    <col min="14333" max="14333" width="3.7109375" style="31" customWidth="1"/>
    <col min="14334" max="14334" width="30.42578125" style="31" customWidth="1"/>
    <col min="14335" max="14335" width="7.140625" style="31" customWidth="1"/>
    <col min="14336" max="14336" width="10.7109375" style="31" customWidth="1"/>
    <col min="14337" max="14337" width="10.42578125" style="31" customWidth="1"/>
    <col min="14338" max="14338" width="10.5703125" style="31" customWidth="1"/>
    <col min="14339" max="14339" width="10.42578125" style="31" customWidth="1"/>
    <col min="14340" max="14342" width="10.5703125" style="31" customWidth="1"/>
    <col min="14343" max="14345" width="10.42578125" style="31" customWidth="1"/>
    <col min="14346" max="14346" width="10.5703125" style="31" customWidth="1"/>
    <col min="14347" max="14347" width="10.28515625" style="31" customWidth="1"/>
    <col min="14348" max="14348" width="10.140625" style="31" customWidth="1"/>
    <col min="14349" max="14349" width="11.7109375" style="31" customWidth="1"/>
    <col min="14350" max="14350" width="12.42578125" style="31" customWidth="1"/>
    <col min="14351" max="14351" width="11.7109375" style="31" customWidth="1"/>
    <col min="14352" max="14352" width="13.140625" style="31" customWidth="1"/>
    <col min="14353" max="14588" width="9.140625" style="31"/>
    <col min="14589" max="14589" width="3.7109375" style="31" customWidth="1"/>
    <col min="14590" max="14590" width="30.42578125" style="31" customWidth="1"/>
    <col min="14591" max="14591" width="7.140625" style="31" customWidth="1"/>
    <col min="14592" max="14592" width="10.7109375" style="31" customWidth="1"/>
    <col min="14593" max="14593" width="10.42578125" style="31" customWidth="1"/>
    <col min="14594" max="14594" width="10.5703125" style="31" customWidth="1"/>
    <col min="14595" max="14595" width="10.42578125" style="31" customWidth="1"/>
    <col min="14596" max="14598" width="10.5703125" style="31" customWidth="1"/>
    <col min="14599" max="14601" width="10.42578125" style="31" customWidth="1"/>
    <col min="14602" max="14602" width="10.5703125" style="31" customWidth="1"/>
    <col min="14603" max="14603" width="10.28515625" style="31" customWidth="1"/>
    <col min="14604" max="14604" width="10.140625" style="31" customWidth="1"/>
    <col min="14605" max="14605" width="11.7109375" style="31" customWidth="1"/>
    <col min="14606" max="14606" width="12.42578125" style="31" customWidth="1"/>
    <col min="14607" max="14607" width="11.7109375" style="31" customWidth="1"/>
    <col min="14608" max="14608" width="13.140625" style="31" customWidth="1"/>
    <col min="14609" max="14844" width="9.140625" style="31"/>
    <col min="14845" max="14845" width="3.7109375" style="31" customWidth="1"/>
    <col min="14846" max="14846" width="30.42578125" style="31" customWidth="1"/>
    <col min="14847" max="14847" width="7.140625" style="31" customWidth="1"/>
    <col min="14848" max="14848" width="10.7109375" style="31" customWidth="1"/>
    <col min="14849" max="14849" width="10.42578125" style="31" customWidth="1"/>
    <col min="14850" max="14850" width="10.5703125" style="31" customWidth="1"/>
    <col min="14851" max="14851" width="10.42578125" style="31" customWidth="1"/>
    <col min="14852" max="14854" width="10.5703125" style="31" customWidth="1"/>
    <col min="14855" max="14857" width="10.42578125" style="31" customWidth="1"/>
    <col min="14858" max="14858" width="10.5703125" style="31" customWidth="1"/>
    <col min="14859" max="14859" width="10.28515625" style="31" customWidth="1"/>
    <col min="14860" max="14860" width="10.140625" style="31" customWidth="1"/>
    <col min="14861" max="14861" width="11.7109375" style="31" customWidth="1"/>
    <col min="14862" max="14862" width="12.42578125" style="31" customWidth="1"/>
    <col min="14863" max="14863" width="11.7109375" style="31" customWidth="1"/>
    <col min="14864" max="14864" width="13.140625" style="31" customWidth="1"/>
    <col min="14865" max="15100" width="9.140625" style="31"/>
    <col min="15101" max="15101" width="3.7109375" style="31" customWidth="1"/>
    <col min="15102" max="15102" width="30.42578125" style="31" customWidth="1"/>
    <col min="15103" max="15103" width="7.140625" style="31" customWidth="1"/>
    <col min="15104" max="15104" width="10.7109375" style="31" customWidth="1"/>
    <col min="15105" max="15105" width="10.42578125" style="31" customWidth="1"/>
    <col min="15106" max="15106" width="10.5703125" style="31" customWidth="1"/>
    <col min="15107" max="15107" width="10.42578125" style="31" customWidth="1"/>
    <col min="15108" max="15110" width="10.5703125" style="31" customWidth="1"/>
    <col min="15111" max="15113" width="10.42578125" style="31" customWidth="1"/>
    <col min="15114" max="15114" width="10.5703125" style="31" customWidth="1"/>
    <col min="15115" max="15115" width="10.28515625" style="31" customWidth="1"/>
    <col min="15116" max="15116" width="10.140625" style="31" customWidth="1"/>
    <col min="15117" max="15117" width="11.7109375" style="31" customWidth="1"/>
    <col min="15118" max="15118" width="12.42578125" style="31" customWidth="1"/>
    <col min="15119" max="15119" width="11.7109375" style="31" customWidth="1"/>
    <col min="15120" max="15120" width="13.140625" style="31" customWidth="1"/>
    <col min="15121" max="15356" width="9.140625" style="31"/>
    <col min="15357" max="15357" width="3.7109375" style="31" customWidth="1"/>
    <col min="15358" max="15358" width="30.42578125" style="31" customWidth="1"/>
    <col min="15359" max="15359" width="7.140625" style="31" customWidth="1"/>
    <col min="15360" max="15360" width="10.7109375" style="31" customWidth="1"/>
    <col min="15361" max="15361" width="10.42578125" style="31" customWidth="1"/>
    <col min="15362" max="15362" width="10.5703125" style="31" customWidth="1"/>
    <col min="15363" max="15363" width="10.42578125" style="31" customWidth="1"/>
    <col min="15364" max="15366" width="10.5703125" style="31" customWidth="1"/>
    <col min="15367" max="15369" width="10.42578125" style="31" customWidth="1"/>
    <col min="15370" max="15370" width="10.5703125" style="31" customWidth="1"/>
    <col min="15371" max="15371" width="10.28515625" style="31" customWidth="1"/>
    <col min="15372" max="15372" width="10.140625" style="31" customWidth="1"/>
    <col min="15373" max="15373" width="11.7109375" style="31" customWidth="1"/>
    <col min="15374" max="15374" width="12.42578125" style="31" customWidth="1"/>
    <col min="15375" max="15375" width="11.7109375" style="31" customWidth="1"/>
    <col min="15376" max="15376" width="13.140625" style="31" customWidth="1"/>
    <col min="15377" max="15612" width="9.140625" style="31"/>
    <col min="15613" max="15613" width="3.7109375" style="31" customWidth="1"/>
    <col min="15614" max="15614" width="30.42578125" style="31" customWidth="1"/>
    <col min="15615" max="15615" width="7.140625" style="31" customWidth="1"/>
    <col min="15616" max="15616" width="10.7109375" style="31" customWidth="1"/>
    <col min="15617" max="15617" width="10.42578125" style="31" customWidth="1"/>
    <col min="15618" max="15618" width="10.5703125" style="31" customWidth="1"/>
    <col min="15619" max="15619" width="10.42578125" style="31" customWidth="1"/>
    <col min="15620" max="15622" width="10.5703125" style="31" customWidth="1"/>
    <col min="15623" max="15625" width="10.42578125" style="31" customWidth="1"/>
    <col min="15626" max="15626" width="10.5703125" style="31" customWidth="1"/>
    <col min="15627" max="15627" width="10.28515625" style="31" customWidth="1"/>
    <col min="15628" max="15628" width="10.140625" style="31" customWidth="1"/>
    <col min="15629" max="15629" width="11.7109375" style="31" customWidth="1"/>
    <col min="15630" max="15630" width="12.42578125" style="31" customWidth="1"/>
    <col min="15631" max="15631" width="11.7109375" style="31" customWidth="1"/>
    <col min="15632" max="15632" width="13.140625" style="31" customWidth="1"/>
    <col min="15633" max="15868" width="9.140625" style="31"/>
    <col min="15869" max="15869" width="3.7109375" style="31" customWidth="1"/>
    <col min="15870" max="15870" width="30.42578125" style="31" customWidth="1"/>
    <col min="15871" max="15871" width="7.140625" style="31" customWidth="1"/>
    <col min="15872" max="15872" width="10.7109375" style="31" customWidth="1"/>
    <col min="15873" max="15873" width="10.42578125" style="31" customWidth="1"/>
    <col min="15874" max="15874" width="10.5703125" style="31" customWidth="1"/>
    <col min="15875" max="15875" width="10.42578125" style="31" customWidth="1"/>
    <col min="15876" max="15878" width="10.5703125" style="31" customWidth="1"/>
    <col min="15879" max="15881" width="10.42578125" style="31" customWidth="1"/>
    <col min="15882" max="15882" width="10.5703125" style="31" customWidth="1"/>
    <col min="15883" max="15883" width="10.28515625" style="31" customWidth="1"/>
    <col min="15884" max="15884" width="10.140625" style="31" customWidth="1"/>
    <col min="15885" max="15885" width="11.7109375" style="31" customWidth="1"/>
    <col min="15886" max="15886" width="12.42578125" style="31" customWidth="1"/>
    <col min="15887" max="15887" width="11.7109375" style="31" customWidth="1"/>
    <col min="15888" max="15888" width="13.140625" style="31" customWidth="1"/>
    <col min="15889" max="16124" width="9.140625" style="31"/>
    <col min="16125" max="16125" width="3.7109375" style="31" customWidth="1"/>
    <col min="16126" max="16126" width="30.42578125" style="31" customWidth="1"/>
    <col min="16127" max="16127" width="7.140625" style="31" customWidth="1"/>
    <col min="16128" max="16128" width="10.7109375" style="31" customWidth="1"/>
    <col min="16129" max="16129" width="10.42578125" style="31" customWidth="1"/>
    <col min="16130" max="16130" width="10.5703125" style="31" customWidth="1"/>
    <col min="16131" max="16131" width="10.42578125" style="31" customWidth="1"/>
    <col min="16132" max="16134" width="10.5703125" style="31" customWidth="1"/>
    <col min="16135" max="16137" width="10.42578125" style="31" customWidth="1"/>
    <col min="16138" max="16138" width="10.5703125" style="31" customWidth="1"/>
    <col min="16139" max="16139" width="10.28515625" style="31" customWidth="1"/>
    <col min="16140" max="16140" width="10.140625" style="31" customWidth="1"/>
    <col min="16141" max="16141" width="11.7109375" style="31" customWidth="1"/>
    <col min="16142" max="16142" width="12.42578125" style="31" customWidth="1"/>
    <col min="16143" max="16143" width="11.7109375" style="31" customWidth="1"/>
    <col min="16144" max="16144" width="13.140625" style="31" customWidth="1"/>
    <col min="16145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182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8.75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204" t="s">
        <v>10</v>
      </c>
      <c r="L4" s="204" t="s">
        <v>11</v>
      </c>
      <c r="M4" s="204" t="s">
        <v>12</v>
      </c>
      <c r="N4" s="204" t="s">
        <v>13</v>
      </c>
      <c r="O4" s="205" t="s">
        <v>14</v>
      </c>
      <c r="P4" s="204" t="s">
        <v>15</v>
      </c>
      <c r="Q4" s="6" t="s">
        <v>184</v>
      </c>
      <c r="R4" s="6" t="s">
        <v>185</v>
      </c>
      <c r="S4" s="8" t="s">
        <v>186</v>
      </c>
    </row>
    <row r="5" spans="1:19" s="15" customFormat="1" ht="31.5" customHeight="1">
      <c r="A5" s="206" t="s">
        <v>16</v>
      </c>
      <c r="B5" s="207" t="s">
        <v>183</v>
      </c>
      <c r="C5" s="208">
        <v>31</v>
      </c>
      <c r="D5" s="209">
        <v>150</v>
      </c>
      <c r="E5" s="209">
        <v>184</v>
      </c>
      <c r="F5" s="209">
        <v>191</v>
      </c>
      <c r="G5" s="209">
        <v>136</v>
      </c>
      <c r="H5" s="209">
        <v>132</v>
      </c>
      <c r="I5" s="209">
        <v>72</v>
      </c>
      <c r="J5" s="209">
        <v>107</v>
      </c>
      <c r="K5" s="209">
        <v>111</v>
      </c>
      <c r="L5" s="209">
        <v>56</v>
      </c>
      <c r="M5" s="209">
        <v>139</v>
      </c>
      <c r="N5" s="209">
        <v>41</v>
      </c>
      <c r="O5" s="209">
        <v>74</v>
      </c>
      <c r="P5" s="209">
        <v>64</v>
      </c>
      <c r="Q5" s="13">
        <f>SUM(D5:P5)</f>
        <v>1457</v>
      </c>
      <c r="R5" s="13">
        <v>1362</v>
      </c>
      <c r="S5" s="58">
        <v>1438</v>
      </c>
    </row>
    <row r="6" spans="1:19" s="21" customFormat="1" ht="21.95" customHeight="1">
      <c r="A6" s="210"/>
      <c r="B6" s="211" t="s">
        <v>17</v>
      </c>
      <c r="C6" s="212"/>
      <c r="D6" s="209">
        <v>25</v>
      </c>
      <c r="E6" s="209">
        <v>91</v>
      </c>
      <c r="F6" s="209">
        <v>20</v>
      </c>
      <c r="G6" s="209">
        <v>103</v>
      </c>
      <c r="H6" s="209">
        <v>18</v>
      </c>
      <c r="I6" s="209">
        <v>15</v>
      </c>
      <c r="J6" s="209">
        <v>35</v>
      </c>
      <c r="K6" s="209">
        <v>108</v>
      </c>
      <c r="L6" s="209">
        <v>58</v>
      </c>
      <c r="M6" s="209">
        <v>25</v>
      </c>
      <c r="N6" s="209">
        <v>66</v>
      </c>
      <c r="O6" s="209">
        <v>15</v>
      </c>
      <c r="P6" s="209">
        <v>0</v>
      </c>
      <c r="Q6" s="19">
        <f>SUM(D6:P6)</f>
        <v>579</v>
      </c>
      <c r="R6" s="19">
        <v>599</v>
      </c>
      <c r="S6" s="96">
        <v>653</v>
      </c>
    </row>
    <row r="7" spans="1:19" s="27" customFormat="1" ht="21.95" customHeight="1">
      <c r="A7" s="213"/>
      <c r="B7" s="214" t="s">
        <v>18</v>
      </c>
      <c r="C7" s="215"/>
      <c r="D7" s="216">
        <f>SUM(D5:D6)</f>
        <v>175</v>
      </c>
      <c r="E7" s="216">
        <f t="shared" ref="E7:P7" si="0">SUM(E5:E6)</f>
        <v>275</v>
      </c>
      <c r="F7" s="216">
        <f t="shared" si="0"/>
        <v>211</v>
      </c>
      <c r="G7" s="216">
        <f t="shared" si="0"/>
        <v>239</v>
      </c>
      <c r="H7" s="216">
        <f t="shared" si="0"/>
        <v>150</v>
      </c>
      <c r="I7" s="216">
        <f t="shared" si="0"/>
        <v>87</v>
      </c>
      <c r="J7" s="216">
        <f t="shared" si="0"/>
        <v>142</v>
      </c>
      <c r="K7" s="216">
        <f t="shared" si="0"/>
        <v>219</v>
      </c>
      <c r="L7" s="216">
        <f t="shared" si="0"/>
        <v>114</v>
      </c>
      <c r="M7" s="216">
        <f t="shared" si="0"/>
        <v>164</v>
      </c>
      <c r="N7" s="216">
        <f t="shared" si="0"/>
        <v>107</v>
      </c>
      <c r="O7" s="216">
        <f t="shared" si="0"/>
        <v>89</v>
      </c>
      <c r="P7" s="216">
        <f t="shared" si="0"/>
        <v>64</v>
      </c>
      <c r="Q7" s="25">
        <f>SUM(D7:P7)</f>
        <v>2036</v>
      </c>
      <c r="R7" s="25">
        <v>1961</v>
      </c>
      <c r="S7" s="26">
        <v>2091</v>
      </c>
    </row>
    <row r="8" spans="1:19" ht="21.95" customHeight="1">
      <c r="A8" s="217" t="s">
        <v>19</v>
      </c>
      <c r="B8" s="207" t="s">
        <v>20</v>
      </c>
      <c r="C8" s="218"/>
      <c r="D8" s="209">
        <v>139</v>
      </c>
      <c r="E8" s="209">
        <v>168</v>
      </c>
      <c r="F8" s="209">
        <v>179</v>
      </c>
      <c r="G8" s="209">
        <v>121</v>
      </c>
      <c r="H8" s="209">
        <v>126</v>
      </c>
      <c r="I8" s="209">
        <v>73</v>
      </c>
      <c r="J8" s="209">
        <v>103</v>
      </c>
      <c r="K8" s="209">
        <v>99</v>
      </c>
      <c r="L8" s="209">
        <v>57</v>
      </c>
      <c r="M8" s="209">
        <v>127</v>
      </c>
      <c r="N8" s="209">
        <v>57</v>
      </c>
      <c r="O8" s="209">
        <v>67</v>
      </c>
      <c r="P8" s="209">
        <v>63</v>
      </c>
      <c r="Q8" s="30">
        <f>SUM(D8:P8)</f>
        <v>1379</v>
      </c>
      <c r="R8" s="30">
        <v>1363</v>
      </c>
      <c r="S8" s="171">
        <v>1410</v>
      </c>
    </row>
    <row r="9" spans="1:19" ht="21.95" customHeight="1">
      <c r="A9" s="210"/>
      <c r="B9" s="211" t="s">
        <v>21</v>
      </c>
      <c r="C9" s="212"/>
      <c r="D9" s="209">
        <f>D6</f>
        <v>25</v>
      </c>
      <c r="E9" s="209">
        <f t="shared" ref="E9:P9" si="1">E6</f>
        <v>91</v>
      </c>
      <c r="F9" s="209">
        <f t="shared" si="1"/>
        <v>20</v>
      </c>
      <c r="G9" s="209">
        <f t="shared" si="1"/>
        <v>103</v>
      </c>
      <c r="H9" s="209">
        <f t="shared" si="1"/>
        <v>18</v>
      </c>
      <c r="I9" s="209">
        <f t="shared" si="1"/>
        <v>15</v>
      </c>
      <c r="J9" s="209">
        <f t="shared" si="1"/>
        <v>35</v>
      </c>
      <c r="K9" s="209">
        <f t="shared" si="1"/>
        <v>108</v>
      </c>
      <c r="L9" s="209">
        <f t="shared" si="1"/>
        <v>58</v>
      </c>
      <c r="M9" s="209">
        <f t="shared" si="1"/>
        <v>25</v>
      </c>
      <c r="N9" s="209">
        <f t="shared" si="1"/>
        <v>66</v>
      </c>
      <c r="O9" s="209">
        <f t="shared" si="1"/>
        <v>15</v>
      </c>
      <c r="P9" s="209">
        <f t="shared" si="1"/>
        <v>0</v>
      </c>
      <c r="Q9" s="13">
        <f>SUM(D9:P9)</f>
        <v>579</v>
      </c>
      <c r="R9" s="13">
        <v>599</v>
      </c>
      <c r="S9" s="58">
        <v>653</v>
      </c>
    </row>
    <row r="10" spans="1:19" s="33" customFormat="1" ht="21.95" customHeight="1">
      <c r="A10" s="213"/>
      <c r="B10" s="214" t="s">
        <v>22</v>
      </c>
      <c r="C10" s="215"/>
      <c r="D10" s="219">
        <f>SUM(D8:D9)</f>
        <v>164</v>
      </c>
      <c r="E10" s="219">
        <f t="shared" ref="E10:P10" si="2">SUM(E8:E9)</f>
        <v>259</v>
      </c>
      <c r="F10" s="219">
        <f t="shared" si="2"/>
        <v>199</v>
      </c>
      <c r="G10" s="219">
        <f t="shared" si="2"/>
        <v>224</v>
      </c>
      <c r="H10" s="219">
        <f t="shared" si="2"/>
        <v>144</v>
      </c>
      <c r="I10" s="219">
        <f t="shared" si="2"/>
        <v>88</v>
      </c>
      <c r="J10" s="219">
        <f t="shared" si="2"/>
        <v>138</v>
      </c>
      <c r="K10" s="219">
        <f t="shared" si="2"/>
        <v>207</v>
      </c>
      <c r="L10" s="219">
        <f t="shared" si="2"/>
        <v>115</v>
      </c>
      <c r="M10" s="219">
        <f t="shared" si="2"/>
        <v>152</v>
      </c>
      <c r="N10" s="219">
        <f t="shared" si="2"/>
        <v>123</v>
      </c>
      <c r="O10" s="219">
        <f t="shared" si="2"/>
        <v>82</v>
      </c>
      <c r="P10" s="219">
        <f t="shared" si="2"/>
        <v>63</v>
      </c>
      <c r="Q10" s="32">
        <f>SUM(Q8:Q9)</f>
        <v>1958</v>
      </c>
      <c r="R10" s="32">
        <v>1962</v>
      </c>
      <c r="S10" s="48">
        <v>2063</v>
      </c>
    </row>
    <row r="11" spans="1:19" s="15" customFormat="1" ht="25.5">
      <c r="A11" s="206" t="s">
        <v>23</v>
      </c>
      <c r="B11" s="207" t="s">
        <v>24</v>
      </c>
      <c r="C11" s="220"/>
      <c r="D11" s="209">
        <v>102</v>
      </c>
      <c r="E11" s="209">
        <v>112</v>
      </c>
      <c r="F11" s="209">
        <v>108</v>
      </c>
      <c r="G11" s="209">
        <v>92</v>
      </c>
      <c r="H11" s="209">
        <v>93</v>
      </c>
      <c r="I11" s="209">
        <v>55</v>
      </c>
      <c r="J11" s="209">
        <v>81</v>
      </c>
      <c r="K11" s="209">
        <v>65</v>
      </c>
      <c r="L11" s="209">
        <v>44</v>
      </c>
      <c r="M11" s="209">
        <v>84</v>
      </c>
      <c r="N11" s="209">
        <v>35</v>
      </c>
      <c r="O11" s="209">
        <v>44</v>
      </c>
      <c r="P11" s="209">
        <v>40</v>
      </c>
      <c r="Q11" s="36">
        <f>SUM(D11:P11)</f>
        <v>955</v>
      </c>
      <c r="R11" s="36">
        <v>946</v>
      </c>
      <c r="S11" s="49">
        <v>950</v>
      </c>
    </row>
    <row r="12" spans="1:19" s="21" customFormat="1" ht="21.95" customHeight="1">
      <c r="A12" s="210"/>
      <c r="B12" s="211" t="s">
        <v>25</v>
      </c>
      <c r="C12" s="212"/>
      <c r="D12" s="209">
        <v>0</v>
      </c>
      <c r="E12" s="209">
        <v>4</v>
      </c>
      <c r="F12" s="209">
        <v>1</v>
      </c>
      <c r="G12" s="209">
        <v>0</v>
      </c>
      <c r="H12" s="209">
        <v>0</v>
      </c>
      <c r="I12" s="209">
        <v>1</v>
      </c>
      <c r="J12" s="209">
        <v>1</v>
      </c>
      <c r="K12" s="209">
        <v>8</v>
      </c>
      <c r="L12" s="209">
        <v>2</v>
      </c>
      <c r="M12" s="209">
        <v>4</v>
      </c>
      <c r="N12" s="209">
        <v>2</v>
      </c>
      <c r="O12" s="209">
        <v>1</v>
      </c>
      <c r="P12" s="209">
        <v>1</v>
      </c>
      <c r="Q12" s="37">
        <f>SUM(D12:P12)</f>
        <v>25</v>
      </c>
      <c r="R12" s="37">
        <v>9</v>
      </c>
      <c r="S12" s="38">
        <v>24</v>
      </c>
    </row>
    <row r="13" spans="1:19" s="21" customFormat="1" ht="21.95" customHeight="1">
      <c r="A13" s="210"/>
      <c r="B13" s="221" t="s">
        <v>26</v>
      </c>
      <c r="C13" s="212"/>
      <c r="D13" s="222">
        <f>D11+D12</f>
        <v>102</v>
      </c>
      <c r="E13" s="222">
        <f t="shared" ref="E13:Q13" si="3">E11+E12</f>
        <v>116</v>
      </c>
      <c r="F13" s="222">
        <f t="shared" si="3"/>
        <v>109</v>
      </c>
      <c r="G13" s="222">
        <f t="shared" si="3"/>
        <v>92</v>
      </c>
      <c r="H13" s="222">
        <f t="shared" si="3"/>
        <v>93</v>
      </c>
      <c r="I13" s="222">
        <f t="shared" si="3"/>
        <v>56</v>
      </c>
      <c r="J13" s="222">
        <f t="shared" si="3"/>
        <v>82</v>
      </c>
      <c r="K13" s="222">
        <f t="shared" si="3"/>
        <v>73</v>
      </c>
      <c r="L13" s="222">
        <f t="shared" si="3"/>
        <v>46</v>
      </c>
      <c r="M13" s="222">
        <f t="shared" si="3"/>
        <v>88</v>
      </c>
      <c r="N13" s="222">
        <f t="shared" si="3"/>
        <v>37</v>
      </c>
      <c r="O13" s="222">
        <f t="shared" si="3"/>
        <v>45</v>
      </c>
      <c r="P13" s="222">
        <f t="shared" si="3"/>
        <v>41</v>
      </c>
      <c r="Q13" s="37">
        <f t="shared" si="3"/>
        <v>980</v>
      </c>
      <c r="R13" s="37">
        <v>955</v>
      </c>
      <c r="S13" s="38">
        <v>974</v>
      </c>
    </row>
    <row r="14" spans="1:19" s="21" customFormat="1" ht="21.95" customHeight="1">
      <c r="A14" s="223"/>
      <c r="B14" s="224" t="s">
        <v>27</v>
      </c>
      <c r="C14" s="225"/>
      <c r="D14" s="226">
        <f t="shared" ref="D14:Q14" si="4">D12/D8*100</f>
        <v>0</v>
      </c>
      <c r="E14" s="227">
        <f t="shared" si="4"/>
        <v>2.3809523809523809</v>
      </c>
      <c r="F14" s="227">
        <f t="shared" si="4"/>
        <v>0.55865921787709494</v>
      </c>
      <c r="G14" s="227">
        <f t="shared" si="4"/>
        <v>0</v>
      </c>
      <c r="H14" s="227">
        <f t="shared" si="4"/>
        <v>0</v>
      </c>
      <c r="I14" s="227">
        <f t="shared" si="4"/>
        <v>1.3698630136986301</v>
      </c>
      <c r="J14" s="226">
        <f t="shared" si="4"/>
        <v>0.97087378640776689</v>
      </c>
      <c r="K14" s="226">
        <f t="shared" si="4"/>
        <v>8.0808080808080813</v>
      </c>
      <c r="L14" s="227">
        <f t="shared" si="4"/>
        <v>3.5087719298245612</v>
      </c>
      <c r="M14" s="227">
        <f t="shared" si="4"/>
        <v>3.1496062992125982</v>
      </c>
      <c r="N14" s="226">
        <f t="shared" si="4"/>
        <v>3.5087719298245612</v>
      </c>
      <c r="O14" s="226">
        <f t="shared" si="4"/>
        <v>1.4925373134328357</v>
      </c>
      <c r="P14" s="227">
        <f t="shared" si="4"/>
        <v>1.5873015873015872</v>
      </c>
      <c r="Q14" s="42">
        <f t="shared" si="4"/>
        <v>1.8129079042784626</v>
      </c>
      <c r="R14" s="42">
        <v>0.66030814380044023</v>
      </c>
      <c r="S14" s="43">
        <v>1.7021276595744681</v>
      </c>
    </row>
    <row r="15" spans="1:19" s="21" customFormat="1" ht="21.95" customHeight="1">
      <c r="A15" s="217" t="s">
        <v>28</v>
      </c>
      <c r="B15" s="221" t="s">
        <v>29</v>
      </c>
      <c r="C15" s="218"/>
      <c r="D15" s="209">
        <f>D11</f>
        <v>102</v>
      </c>
      <c r="E15" s="209">
        <f t="shared" ref="E15:P15" si="5">E11</f>
        <v>112</v>
      </c>
      <c r="F15" s="209">
        <f t="shared" si="5"/>
        <v>108</v>
      </c>
      <c r="G15" s="209">
        <f t="shared" si="5"/>
        <v>92</v>
      </c>
      <c r="H15" s="209">
        <f t="shared" si="5"/>
        <v>93</v>
      </c>
      <c r="I15" s="209">
        <f t="shared" si="5"/>
        <v>55</v>
      </c>
      <c r="J15" s="209">
        <f t="shared" si="5"/>
        <v>81</v>
      </c>
      <c r="K15" s="209">
        <f t="shared" si="5"/>
        <v>65</v>
      </c>
      <c r="L15" s="228">
        <f t="shared" si="5"/>
        <v>44</v>
      </c>
      <c r="M15" s="209">
        <f t="shared" si="5"/>
        <v>84</v>
      </c>
      <c r="N15" s="209">
        <f t="shared" si="5"/>
        <v>35</v>
      </c>
      <c r="O15" s="209">
        <f t="shared" si="5"/>
        <v>44</v>
      </c>
      <c r="P15" s="209">
        <f t="shared" si="5"/>
        <v>40</v>
      </c>
      <c r="Q15" s="45">
        <f>SUM(D15:P15)</f>
        <v>955</v>
      </c>
      <c r="R15" s="45">
        <v>946</v>
      </c>
      <c r="S15" s="46">
        <v>950</v>
      </c>
    </row>
    <row r="16" spans="1:19" s="21" customFormat="1" ht="21.95" customHeight="1">
      <c r="A16" s="210"/>
      <c r="B16" s="211" t="s">
        <v>21</v>
      </c>
      <c r="C16" s="212"/>
      <c r="D16" s="209">
        <v>21</v>
      </c>
      <c r="E16" s="209">
        <v>58</v>
      </c>
      <c r="F16" s="209">
        <v>13</v>
      </c>
      <c r="G16" s="209">
        <v>75</v>
      </c>
      <c r="H16" s="209">
        <v>18</v>
      </c>
      <c r="I16" s="209">
        <v>11</v>
      </c>
      <c r="J16" s="209">
        <v>22</v>
      </c>
      <c r="K16" s="209">
        <v>79</v>
      </c>
      <c r="L16" s="209">
        <v>50</v>
      </c>
      <c r="M16" s="209">
        <v>15</v>
      </c>
      <c r="N16" s="209">
        <v>42</v>
      </c>
      <c r="O16" s="209">
        <v>11</v>
      </c>
      <c r="P16" s="209">
        <v>0</v>
      </c>
      <c r="Q16" s="37">
        <f>SUM(D16:P16)</f>
        <v>415</v>
      </c>
      <c r="R16" s="37">
        <v>417</v>
      </c>
      <c r="S16" s="38">
        <v>445</v>
      </c>
    </row>
    <row r="17" spans="1:19" s="27" customFormat="1" ht="21.95" customHeight="1">
      <c r="A17" s="213"/>
      <c r="B17" s="229" t="s">
        <v>30</v>
      </c>
      <c r="C17" s="215"/>
      <c r="D17" s="219">
        <f>SUM(D15:D16)</f>
        <v>123</v>
      </c>
      <c r="E17" s="219">
        <f t="shared" ref="E17:Q17" si="6">SUM(E15:E16)</f>
        <v>170</v>
      </c>
      <c r="F17" s="219">
        <f t="shared" si="6"/>
        <v>121</v>
      </c>
      <c r="G17" s="219">
        <f t="shared" si="6"/>
        <v>167</v>
      </c>
      <c r="H17" s="219">
        <f t="shared" si="6"/>
        <v>111</v>
      </c>
      <c r="I17" s="219">
        <f t="shared" si="6"/>
        <v>66</v>
      </c>
      <c r="J17" s="219">
        <f t="shared" si="6"/>
        <v>103</v>
      </c>
      <c r="K17" s="219">
        <f t="shared" si="6"/>
        <v>144</v>
      </c>
      <c r="L17" s="219">
        <f t="shared" si="6"/>
        <v>94</v>
      </c>
      <c r="M17" s="219">
        <f t="shared" si="6"/>
        <v>99</v>
      </c>
      <c r="N17" s="219">
        <f t="shared" si="6"/>
        <v>77</v>
      </c>
      <c r="O17" s="219">
        <f t="shared" si="6"/>
        <v>55</v>
      </c>
      <c r="P17" s="219">
        <f t="shared" si="6"/>
        <v>40</v>
      </c>
      <c r="Q17" s="32">
        <f t="shared" si="6"/>
        <v>1370</v>
      </c>
      <c r="R17" s="32">
        <v>1363</v>
      </c>
      <c r="S17" s="48">
        <v>1395</v>
      </c>
    </row>
    <row r="18" spans="1:19" s="15" customFormat="1" ht="29.25" customHeight="1">
      <c r="A18" s="206">
        <v>3</v>
      </c>
      <c r="B18" s="207" t="s">
        <v>31</v>
      </c>
      <c r="C18" s="220"/>
      <c r="D18" s="230">
        <f>D8-D11</f>
        <v>37</v>
      </c>
      <c r="E18" s="230">
        <f t="shared" ref="E18:Q18" si="7">E8-E11</f>
        <v>56</v>
      </c>
      <c r="F18" s="230">
        <f t="shared" si="7"/>
        <v>71</v>
      </c>
      <c r="G18" s="230">
        <f t="shared" si="7"/>
        <v>29</v>
      </c>
      <c r="H18" s="230">
        <f t="shared" si="7"/>
        <v>33</v>
      </c>
      <c r="I18" s="230">
        <f t="shared" si="7"/>
        <v>18</v>
      </c>
      <c r="J18" s="230">
        <f t="shared" si="7"/>
        <v>22</v>
      </c>
      <c r="K18" s="230">
        <f t="shared" si="7"/>
        <v>34</v>
      </c>
      <c r="L18" s="230">
        <f t="shared" si="7"/>
        <v>13</v>
      </c>
      <c r="M18" s="230">
        <f t="shared" si="7"/>
        <v>43</v>
      </c>
      <c r="N18" s="230">
        <f t="shared" si="7"/>
        <v>22</v>
      </c>
      <c r="O18" s="230">
        <f t="shared" si="7"/>
        <v>23</v>
      </c>
      <c r="P18" s="230">
        <f t="shared" si="7"/>
        <v>23</v>
      </c>
      <c r="Q18" s="19">
        <f t="shared" si="7"/>
        <v>424</v>
      </c>
      <c r="R18" s="19">
        <v>417</v>
      </c>
      <c r="S18" s="96">
        <v>460</v>
      </c>
    </row>
    <row r="19" spans="1:19" s="21" customFormat="1" ht="21.95" customHeight="1">
      <c r="A19" s="210"/>
      <c r="B19" s="211" t="s">
        <v>21</v>
      </c>
      <c r="C19" s="212"/>
      <c r="D19" s="230">
        <f>D6-D16</f>
        <v>4</v>
      </c>
      <c r="E19" s="230">
        <f t="shared" ref="E19:Q19" si="8">E6-E16</f>
        <v>33</v>
      </c>
      <c r="F19" s="230">
        <f t="shared" si="8"/>
        <v>7</v>
      </c>
      <c r="G19" s="230">
        <f t="shared" si="8"/>
        <v>28</v>
      </c>
      <c r="H19" s="230">
        <f t="shared" si="8"/>
        <v>0</v>
      </c>
      <c r="I19" s="230">
        <f t="shared" si="8"/>
        <v>4</v>
      </c>
      <c r="J19" s="230">
        <f t="shared" si="8"/>
        <v>13</v>
      </c>
      <c r="K19" s="230">
        <f t="shared" si="8"/>
        <v>29</v>
      </c>
      <c r="L19" s="230">
        <f t="shared" si="8"/>
        <v>8</v>
      </c>
      <c r="M19" s="230">
        <f t="shared" si="8"/>
        <v>10</v>
      </c>
      <c r="N19" s="230">
        <f t="shared" si="8"/>
        <v>24</v>
      </c>
      <c r="O19" s="230">
        <f t="shared" si="8"/>
        <v>4</v>
      </c>
      <c r="P19" s="230">
        <f t="shared" si="8"/>
        <v>0</v>
      </c>
      <c r="Q19" s="19">
        <f t="shared" si="8"/>
        <v>164</v>
      </c>
      <c r="R19" s="19">
        <v>182</v>
      </c>
      <c r="S19" s="96">
        <v>208</v>
      </c>
    </row>
    <row r="20" spans="1:19" s="21" customFormat="1" ht="21.95" customHeight="1">
      <c r="A20" s="210"/>
      <c r="B20" s="231" t="s">
        <v>32</v>
      </c>
      <c r="C20" s="212"/>
      <c r="D20" s="222">
        <f t="shared" ref="D20:P20" si="9">SUM(D18:D19)</f>
        <v>41</v>
      </c>
      <c r="E20" s="222">
        <f t="shared" si="9"/>
        <v>89</v>
      </c>
      <c r="F20" s="222">
        <f t="shared" si="9"/>
        <v>78</v>
      </c>
      <c r="G20" s="222">
        <f t="shared" si="9"/>
        <v>57</v>
      </c>
      <c r="H20" s="222">
        <f t="shared" si="9"/>
        <v>33</v>
      </c>
      <c r="I20" s="222">
        <f>SUM(I18:I19)</f>
        <v>22</v>
      </c>
      <c r="J20" s="222">
        <f>SUM(J18:J19)</f>
        <v>35</v>
      </c>
      <c r="K20" s="222">
        <f t="shared" si="9"/>
        <v>63</v>
      </c>
      <c r="L20" s="222">
        <f t="shared" si="9"/>
        <v>21</v>
      </c>
      <c r="M20" s="222">
        <f>SUM(M18:M19)</f>
        <v>53</v>
      </c>
      <c r="N20" s="222">
        <f t="shared" si="9"/>
        <v>46</v>
      </c>
      <c r="O20" s="222">
        <f t="shared" si="9"/>
        <v>27</v>
      </c>
      <c r="P20" s="222">
        <f t="shared" si="9"/>
        <v>23</v>
      </c>
      <c r="Q20" s="37">
        <f>SUM(D20:P20)</f>
        <v>588</v>
      </c>
      <c r="R20" s="37">
        <v>599</v>
      </c>
      <c r="S20" s="38">
        <v>668</v>
      </c>
    </row>
    <row r="21" spans="1:19" s="21" customFormat="1" ht="25.5" customHeight="1">
      <c r="A21" s="210"/>
      <c r="B21" s="211" t="s">
        <v>33</v>
      </c>
      <c r="C21" s="212"/>
      <c r="D21" s="209">
        <v>37</v>
      </c>
      <c r="E21" s="209">
        <v>52</v>
      </c>
      <c r="F21" s="209">
        <v>70</v>
      </c>
      <c r="G21" s="209">
        <v>30</v>
      </c>
      <c r="H21" s="209">
        <v>33</v>
      </c>
      <c r="I21" s="209">
        <v>18</v>
      </c>
      <c r="J21" s="209">
        <v>21</v>
      </c>
      <c r="K21" s="209">
        <v>27</v>
      </c>
      <c r="L21" s="209">
        <v>11</v>
      </c>
      <c r="M21" s="209">
        <v>39</v>
      </c>
      <c r="N21" s="209">
        <v>19</v>
      </c>
      <c r="O21" s="209">
        <v>21</v>
      </c>
      <c r="P21" s="209">
        <v>21</v>
      </c>
      <c r="Q21" s="37">
        <f>SUM(D21:P21)</f>
        <v>399</v>
      </c>
      <c r="R21" s="37">
        <v>408</v>
      </c>
      <c r="S21" s="38">
        <v>436</v>
      </c>
    </row>
    <row r="22" spans="1:19" s="15" customFormat="1" ht="21.95" customHeight="1">
      <c r="A22" s="232"/>
      <c r="B22" s="233" t="s">
        <v>34</v>
      </c>
      <c r="C22" s="234"/>
      <c r="D22" s="226">
        <f t="shared" ref="D22:Q22" si="10">SUM(D21/D8*100)</f>
        <v>26.618705035971225</v>
      </c>
      <c r="E22" s="226">
        <f t="shared" si="10"/>
        <v>30.952380952380953</v>
      </c>
      <c r="F22" s="226">
        <f t="shared" si="10"/>
        <v>39.106145251396647</v>
      </c>
      <c r="G22" s="226">
        <f t="shared" si="10"/>
        <v>24.793388429752067</v>
      </c>
      <c r="H22" s="226">
        <f t="shared" si="10"/>
        <v>26.190476190476193</v>
      </c>
      <c r="I22" s="226">
        <f t="shared" si="10"/>
        <v>24.657534246575342</v>
      </c>
      <c r="J22" s="226">
        <f t="shared" si="10"/>
        <v>20.388349514563107</v>
      </c>
      <c r="K22" s="226">
        <f t="shared" si="10"/>
        <v>27.27272727272727</v>
      </c>
      <c r="L22" s="226">
        <f t="shared" si="10"/>
        <v>19.298245614035086</v>
      </c>
      <c r="M22" s="226">
        <f t="shared" si="10"/>
        <v>30.708661417322837</v>
      </c>
      <c r="N22" s="226">
        <f t="shared" si="10"/>
        <v>33.333333333333329</v>
      </c>
      <c r="O22" s="226">
        <f t="shared" si="10"/>
        <v>31.343283582089555</v>
      </c>
      <c r="P22" s="226">
        <f t="shared" si="10"/>
        <v>33.333333333333329</v>
      </c>
      <c r="Q22" s="42">
        <f t="shared" si="10"/>
        <v>28.934010152284262</v>
      </c>
      <c r="R22" s="42">
        <v>29.933969185619958</v>
      </c>
      <c r="S22" s="43">
        <v>30.921985815602838</v>
      </c>
    </row>
    <row r="23" spans="1:19" s="57" customFormat="1" ht="25.5">
      <c r="A23" s="235">
        <v>4</v>
      </c>
      <c r="B23" s="236" t="s">
        <v>35</v>
      </c>
      <c r="C23" s="237"/>
      <c r="D23" s="209">
        <v>161</v>
      </c>
      <c r="E23" s="209">
        <v>207</v>
      </c>
      <c r="F23" s="209">
        <v>164</v>
      </c>
      <c r="G23" s="209">
        <v>210</v>
      </c>
      <c r="H23" s="209">
        <v>131</v>
      </c>
      <c r="I23" s="209">
        <v>83</v>
      </c>
      <c r="J23" s="209">
        <v>126</v>
      </c>
      <c r="K23" s="209">
        <v>179</v>
      </c>
      <c r="L23" s="209">
        <v>97</v>
      </c>
      <c r="M23" s="209">
        <v>123</v>
      </c>
      <c r="N23" s="209">
        <v>84</v>
      </c>
      <c r="O23" s="209">
        <v>66</v>
      </c>
      <c r="P23" s="209">
        <v>42</v>
      </c>
      <c r="Q23" s="44">
        <f>SUM(D23:P23)</f>
        <v>1673</v>
      </c>
      <c r="R23" s="44">
        <v>1673</v>
      </c>
      <c r="S23" s="14">
        <v>1681</v>
      </c>
    </row>
    <row r="24" spans="1:19" s="15" customFormat="1" ht="38.25">
      <c r="A24" s="206">
        <v>5</v>
      </c>
      <c r="B24" s="207" t="s">
        <v>174</v>
      </c>
      <c r="C24" s="220"/>
      <c r="D24" s="209">
        <v>101</v>
      </c>
      <c r="E24" s="209">
        <v>98</v>
      </c>
      <c r="F24" s="209">
        <v>101</v>
      </c>
      <c r="G24" s="209">
        <v>94</v>
      </c>
      <c r="H24" s="209">
        <v>90</v>
      </c>
      <c r="I24" s="209">
        <v>53</v>
      </c>
      <c r="J24" s="209">
        <v>83</v>
      </c>
      <c r="K24" s="209">
        <v>64</v>
      </c>
      <c r="L24" s="209">
        <v>43</v>
      </c>
      <c r="M24" s="209">
        <v>79</v>
      </c>
      <c r="N24" s="209">
        <v>44</v>
      </c>
      <c r="O24" s="209">
        <v>43</v>
      </c>
      <c r="P24" s="209">
        <v>39</v>
      </c>
      <c r="Q24" s="45">
        <f t="shared" ref="Q24:Q29" si="11">SUM(D24:P24)</f>
        <v>932</v>
      </c>
      <c r="R24" s="45">
        <v>932</v>
      </c>
      <c r="S24" s="46">
        <v>938</v>
      </c>
    </row>
    <row r="25" spans="1:19" s="21" customFormat="1" ht="21.95" customHeight="1">
      <c r="A25" s="210"/>
      <c r="B25" s="211" t="s">
        <v>37</v>
      </c>
      <c r="C25" s="212"/>
      <c r="D25" s="209">
        <v>21</v>
      </c>
      <c r="E25" s="209">
        <v>58</v>
      </c>
      <c r="F25" s="209">
        <v>13</v>
      </c>
      <c r="G25" s="209">
        <v>75</v>
      </c>
      <c r="H25" s="209">
        <v>18</v>
      </c>
      <c r="I25" s="209">
        <v>11</v>
      </c>
      <c r="J25" s="209">
        <v>22</v>
      </c>
      <c r="K25" s="209">
        <v>77</v>
      </c>
      <c r="L25" s="209">
        <v>50</v>
      </c>
      <c r="M25" s="209">
        <v>15</v>
      </c>
      <c r="N25" s="209">
        <v>44</v>
      </c>
      <c r="O25" s="209">
        <v>11</v>
      </c>
      <c r="P25" s="209">
        <v>0</v>
      </c>
      <c r="Q25" s="37">
        <f t="shared" si="11"/>
        <v>415</v>
      </c>
      <c r="R25" s="37">
        <v>417</v>
      </c>
      <c r="S25" s="38">
        <v>435</v>
      </c>
    </row>
    <row r="26" spans="1:19" s="21" customFormat="1" ht="21.95" customHeight="1">
      <c r="A26" s="223"/>
      <c r="B26" s="224" t="s">
        <v>38</v>
      </c>
      <c r="C26" s="225"/>
      <c r="D26" s="238">
        <f t="shared" ref="D26:P26" si="12">SUM(D24:D25)</f>
        <v>122</v>
      </c>
      <c r="E26" s="238">
        <f t="shared" si="12"/>
        <v>156</v>
      </c>
      <c r="F26" s="238">
        <f t="shared" si="12"/>
        <v>114</v>
      </c>
      <c r="G26" s="238">
        <f t="shared" si="12"/>
        <v>169</v>
      </c>
      <c r="H26" s="238">
        <f t="shared" si="12"/>
        <v>108</v>
      </c>
      <c r="I26" s="238">
        <f>SUM(I24:I25)</f>
        <v>64</v>
      </c>
      <c r="J26" s="238">
        <f>SUM(J24:J25)</f>
        <v>105</v>
      </c>
      <c r="K26" s="238">
        <f t="shared" si="12"/>
        <v>141</v>
      </c>
      <c r="L26" s="238">
        <f t="shared" si="12"/>
        <v>93</v>
      </c>
      <c r="M26" s="238">
        <f>SUM(M24:M25)</f>
        <v>94</v>
      </c>
      <c r="N26" s="238">
        <f t="shared" si="12"/>
        <v>88</v>
      </c>
      <c r="O26" s="238">
        <f t="shared" si="12"/>
        <v>54</v>
      </c>
      <c r="P26" s="238">
        <f t="shared" si="12"/>
        <v>39</v>
      </c>
      <c r="Q26" s="59">
        <f t="shared" si="11"/>
        <v>1347</v>
      </c>
      <c r="R26" s="59">
        <v>1349</v>
      </c>
      <c r="S26" s="60">
        <v>1373</v>
      </c>
    </row>
    <row r="27" spans="1:19" s="27" customFormat="1" ht="21.95" customHeight="1" thickBot="1">
      <c r="A27" s="239">
        <v>6</v>
      </c>
      <c r="B27" s="240" t="s">
        <v>39</v>
      </c>
      <c r="C27" s="241"/>
      <c r="D27" s="242">
        <v>1032951</v>
      </c>
      <c r="E27" s="242">
        <v>1464617</v>
      </c>
      <c r="F27" s="242">
        <v>969804</v>
      </c>
      <c r="G27" s="242">
        <v>1283490</v>
      </c>
      <c r="H27" s="242">
        <v>1000479</v>
      </c>
      <c r="I27" s="242">
        <v>494779</v>
      </c>
      <c r="J27" s="242">
        <v>771150</v>
      </c>
      <c r="K27" s="242">
        <v>1413684</v>
      </c>
      <c r="L27" s="242">
        <v>817358</v>
      </c>
      <c r="M27" s="242">
        <v>951853</v>
      </c>
      <c r="N27" s="242">
        <v>573838</v>
      </c>
      <c r="O27" s="242">
        <v>503521</v>
      </c>
      <c r="P27" s="242">
        <v>280397</v>
      </c>
      <c r="Q27" s="196">
        <f>SUM(D27:P27)</f>
        <v>11557921</v>
      </c>
      <c r="R27" s="196">
        <v>11561148</v>
      </c>
      <c r="S27" s="197">
        <v>12055772.899999999</v>
      </c>
    </row>
    <row r="28" spans="1:19" s="21" customFormat="1" ht="18.95" customHeight="1" thickTop="1">
      <c r="A28" s="217">
        <v>7</v>
      </c>
      <c r="B28" s="207" t="s">
        <v>40</v>
      </c>
      <c r="C28" s="218"/>
      <c r="D28" s="209">
        <v>492839</v>
      </c>
      <c r="E28" s="209">
        <v>76143</v>
      </c>
      <c r="F28" s="209">
        <v>390766</v>
      </c>
      <c r="G28" s="209">
        <f>436590+11979</f>
        <v>448569</v>
      </c>
      <c r="H28" s="209">
        <v>543751</v>
      </c>
      <c r="I28" s="209">
        <v>335503</v>
      </c>
      <c r="J28" s="209">
        <v>452634</v>
      </c>
      <c r="K28" s="209">
        <v>354413</v>
      </c>
      <c r="L28" s="209">
        <v>327417</v>
      </c>
      <c r="M28" s="209">
        <v>120241</v>
      </c>
      <c r="N28" s="209">
        <v>44228</v>
      </c>
      <c r="O28" s="209">
        <v>39754</v>
      </c>
      <c r="P28" s="209">
        <v>88397</v>
      </c>
      <c r="Q28" s="44">
        <f t="shared" si="11"/>
        <v>3714655</v>
      </c>
      <c r="R28" s="44">
        <v>3887950</v>
      </c>
      <c r="S28" s="14">
        <v>3864490</v>
      </c>
    </row>
    <row r="29" spans="1:19" s="21" customFormat="1" ht="18.95" customHeight="1">
      <c r="A29" s="210"/>
      <c r="B29" s="211" t="s">
        <v>41</v>
      </c>
      <c r="C29" s="212"/>
      <c r="D29" s="209">
        <v>86745</v>
      </c>
      <c r="E29" s="209">
        <v>585305</v>
      </c>
      <c r="F29" s="209">
        <v>168925</v>
      </c>
      <c r="G29" s="209">
        <v>35726</v>
      </c>
      <c r="H29" s="209">
        <v>100438</v>
      </c>
      <c r="I29" s="209">
        <v>0</v>
      </c>
      <c r="J29" s="209">
        <v>11318</v>
      </c>
      <c r="K29" s="209">
        <v>102592</v>
      </c>
      <c r="L29" s="209">
        <v>42962</v>
      </c>
      <c r="M29" s="209">
        <v>480023</v>
      </c>
      <c r="N29" s="209">
        <v>131662</v>
      </c>
      <c r="O29" s="209">
        <v>249510</v>
      </c>
      <c r="P29" s="209">
        <v>160511</v>
      </c>
      <c r="Q29" s="44">
        <f t="shared" si="11"/>
        <v>2155717</v>
      </c>
      <c r="R29" s="44">
        <v>1908400</v>
      </c>
      <c r="S29" s="14">
        <v>2012195</v>
      </c>
    </row>
    <row r="30" spans="1:19" s="21" customFormat="1" ht="18.95" customHeight="1">
      <c r="A30" s="210"/>
      <c r="B30" s="211" t="s">
        <v>42</v>
      </c>
      <c r="C30" s="212"/>
      <c r="D30" s="209">
        <f t="shared" ref="D30:Q30" si="13">SUM(D28:D29)</f>
        <v>579584</v>
      </c>
      <c r="E30" s="209">
        <f t="shared" si="13"/>
        <v>661448</v>
      </c>
      <c r="F30" s="209">
        <f t="shared" si="13"/>
        <v>559691</v>
      </c>
      <c r="G30" s="209">
        <f t="shared" si="13"/>
        <v>484295</v>
      </c>
      <c r="H30" s="209">
        <f t="shared" si="13"/>
        <v>644189</v>
      </c>
      <c r="I30" s="209">
        <f t="shared" si="13"/>
        <v>335503</v>
      </c>
      <c r="J30" s="209">
        <f t="shared" si="13"/>
        <v>463952</v>
      </c>
      <c r="K30" s="209">
        <f t="shared" si="13"/>
        <v>457005</v>
      </c>
      <c r="L30" s="209">
        <f t="shared" si="13"/>
        <v>370379</v>
      </c>
      <c r="M30" s="209">
        <f t="shared" si="13"/>
        <v>600264</v>
      </c>
      <c r="N30" s="209">
        <f t="shared" si="13"/>
        <v>175890</v>
      </c>
      <c r="O30" s="209">
        <f t="shared" si="13"/>
        <v>289264</v>
      </c>
      <c r="P30" s="209">
        <f t="shared" si="13"/>
        <v>248908</v>
      </c>
      <c r="Q30" s="63">
        <f t="shared" si="13"/>
        <v>5870372</v>
      </c>
      <c r="R30" s="63">
        <v>5796350</v>
      </c>
      <c r="S30" s="20">
        <v>5876685</v>
      </c>
    </row>
    <row r="31" spans="1:19" s="21" customFormat="1" ht="18.95" customHeight="1">
      <c r="A31" s="243"/>
      <c r="B31" s="211" t="s">
        <v>43</v>
      </c>
      <c r="C31" s="212"/>
      <c r="D31" s="209">
        <f>21514+108555</f>
        <v>130069</v>
      </c>
      <c r="E31" s="209">
        <v>407883</v>
      </c>
      <c r="F31" s="209">
        <f>50228+20405</f>
        <v>70633</v>
      </c>
      <c r="G31" s="209">
        <f>279026+167675</f>
        <v>446701</v>
      </c>
      <c r="H31" s="209">
        <v>96174</v>
      </c>
      <c r="I31" s="209">
        <f>49769+4899</f>
        <v>54668</v>
      </c>
      <c r="J31" s="209">
        <v>127994</v>
      </c>
      <c r="K31" s="209">
        <f>189115+236464</f>
        <v>425579</v>
      </c>
      <c r="L31" s="209">
        <f>87665+303147</f>
        <v>390812</v>
      </c>
      <c r="M31" s="209">
        <f>65523+31215</f>
        <v>96738</v>
      </c>
      <c r="N31" s="209">
        <f>28837+23690</f>
        <v>52527</v>
      </c>
      <c r="O31" s="209">
        <f>42947+18729</f>
        <v>61676</v>
      </c>
      <c r="P31" s="209">
        <v>0</v>
      </c>
      <c r="Q31" s="45">
        <f>SUM(D31:P31)</f>
        <v>2361454</v>
      </c>
      <c r="R31" s="37">
        <v>2570933</v>
      </c>
      <c r="S31" s="46">
        <v>2823243</v>
      </c>
    </row>
    <row r="32" spans="1:19" s="21" customFormat="1" ht="18.95" customHeight="1">
      <c r="A32" s="243"/>
      <c r="B32" s="211" t="s">
        <v>153</v>
      </c>
      <c r="C32" s="212"/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f>43288+53058</f>
        <v>96346</v>
      </c>
      <c r="L32" s="209">
        <v>0</v>
      </c>
      <c r="M32" s="209">
        <v>0</v>
      </c>
      <c r="N32" s="209">
        <f>166593+58551</f>
        <v>225144</v>
      </c>
      <c r="O32" s="209">
        <v>0</v>
      </c>
      <c r="P32" s="209">
        <v>0</v>
      </c>
      <c r="Q32" s="45">
        <f>SUM(D32:P32)</f>
        <v>321490</v>
      </c>
      <c r="R32" s="137">
        <v>169201</v>
      </c>
      <c r="S32" s="315">
        <v>0</v>
      </c>
    </row>
    <row r="33" spans="1:19" s="21" customFormat="1" ht="18.95" customHeight="1">
      <c r="A33" s="243"/>
      <c r="B33" s="211" t="s">
        <v>150</v>
      </c>
      <c r="C33" s="212"/>
      <c r="D33" s="209">
        <f>SUM(D31:D32)</f>
        <v>130069</v>
      </c>
      <c r="E33" s="209">
        <f t="shared" ref="E33:Q33" si="14">SUM(E31:E32)</f>
        <v>407883</v>
      </c>
      <c r="F33" s="209">
        <f t="shared" si="14"/>
        <v>70633</v>
      </c>
      <c r="G33" s="209">
        <f t="shared" si="14"/>
        <v>446701</v>
      </c>
      <c r="H33" s="209">
        <f t="shared" si="14"/>
        <v>96174</v>
      </c>
      <c r="I33" s="209">
        <f t="shared" si="14"/>
        <v>54668</v>
      </c>
      <c r="J33" s="209">
        <f t="shared" si="14"/>
        <v>127994</v>
      </c>
      <c r="K33" s="209">
        <f t="shared" si="14"/>
        <v>521925</v>
      </c>
      <c r="L33" s="209">
        <f t="shared" si="14"/>
        <v>390812</v>
      </c>
      <c r="M33" s="209">
        <f t="shared" si="14"/>
        <v>96738</v>
      </c>
      <c r="N33" s="209">
        <f t="shared" si="14"/>
        <v>277671</v>
      </c>
      <c r="O33" s="209">
        <f t="shared" si="14"/>
        <v>61676</v>
      </c>
      <c r="P33" s="209">
        <f t="shared" si="14"/>
        <v>0</v>
      </c>
      <c r="Q33" s="13">
        <f t="shared" si="14"/>
        <v>2682944</v>
      </c>
      <c r="R33" s="37">
        <v>2740134</v>
      </c>
      <c r="S33" s="315">
        <v>2823243</v>
      </c>
    </row>
    <row r="34" spans="1:19" s="27" customFormat="1" ht="25.5">
      <c r="A34" s="244"/>
      <c r="B34" s="245" t="s">
        <v>175</v>
      </c>
      <c r="C34" s="246"/>
      <c r="D34" s="247">
        <f>D30+D33</f>
        <v>709653</v>
      </c>
      <c r="E34" s="247">
        <f t="shared" ref="E34:Q34" si="15">E30+E33</f>
        <v>1069331</v>
      </c>
      <c r="F34" s="247">
        <f t="shared" si="15"/>
        <v>630324</v>
      </c>
      <c r="G34" s="247">
        <f t="shared" si="15"/>
        <v>930996</v>
      </c>
      <c r="H34" s="247">
        <f t="shared" si="15"/>
        <v>740363</v>
      </c>
      <c r="I34" s="247">
        <f t="shared" si="15"/>
        <v>390171</v>
      </c>
      <c r="J34" s="247">
        <f t="shared" si="15"/>
        <v>591946</v>
      </c>
      <c r="K34" s="247">
        <f t="shared" si="15"/>
        <v>978930</v>
      </c>
      <c r="L34" s="247">
        <f t="shared" si="15"/>
        <v>761191</v>
      </c>
      <c r="M34" s="247">
        <f t="shared" si="15"/>
        <v>697002</v>
      </c>
      <c r="N34" s="247">
        <f t="shared" si="15"/>
        <v>453561</v>
      </c>
      <c r="O34" s="247">
        <f t="shared" si="15"/>
        <v>350940</v>
      </c>
      <c r="P34" s="247">
        <f t="shared" si="15"/>
        <v>248908</v>
      </c>
      <c r="Q34" s="68">
        <f t="shared" si="15"/>
        <v>8553316</v>
      </c>
      <c r="R34" s="68">
        <v>8536484</v>
      </c>
      <c r="S34" s="69">
        <v>8699928</v>
      </c>
    </row>
    <row r="35" spans="1:19" s="21" customFormat="1" ht="18.95" customHeight="1">
      <c r="A35" s="217"/>
      <c r="B35" s="207" t="s">
        <v>44</v>
      </c>
      <c r="C35" s="218"/>
      <c r="D35" s="248">
        <f>D34/C5</f>
        <v>22892.032258064515</v>
      </c>
      <c r="E35" s="248">
        <f>E34/C5</f>
        <v>34494.548387096773</v>
      </c>
      <c r="F35" s="248">
        <f>F34/C5</f>
        <v>20333.032258064515</v>
      </c>
      <c r="G35" s="248">
        <f>G34/C5</f>
        <v>30032.129032258064</v>
      </c>
      <c r="H35" s="248">
        <f>H34/C5</f>
        <v>23882.677419354837</v>
      </c>
      <c r="I35" s="248">
        <f>I34/C5</f>
        <v>12586.161290322581</v>
      </c>
      <c r="J35" s="248">
        <f>J34/C5</f>
        <v>19095.032258064515</v>
      </c>
      <c r="K35" s="248">
        <f>K34/C5</f>
        <v>31578.387096774193</v>
      </c>
      <c r="L35" s="248">
        <f>L34/C5</f>
        <v>24554.548387096773</v>
      </c>
      <c r="M35" s="248">
        <f>M34/C5</f>
        <v>22483.935483870966</v>
      </c>
      <c r="N35" s="248">
        <f>N34/C5</f>
        <v>14631</v>
      </c>
      <c r="O35" s="248">
        <f>O34/C5</f>
        <v>11320.645161290322</v>
      </c>
      <c r="P35" s="248">
        <f>P34/C5</f>
        <v>8029.2903225806449</v>
      </c>
      <c r="Q35" s="45">
        <f>Q34/C5</f>
        <v>275913.41935483873</v>
      </c>
      <c r="R35" s="37">
        <v>275370.45161290321</v>
      </c>
      <c r="S35" s="49">
        <v>280642.83870967739</v>
      </c>
    </row>
    <row r="36" spans="1:19" s="21" customFormat="1" ht="18.95" customHeight="1">
      <c r="A36" s="223"/>
      <c r="B36" s="224" t="s">
        <v>45</v>
      </c>
      <c r="C36" s="225"/>
      <c r="D36" s="249">
        <f t="shared" ref="D36:Q36" si="16">SUM((D35)/D17)</f>
        <v>186.11408339889849</v>
      </c>
      <c r="E36" s="249">
        <f t="shared" si="16"/>
        <v>202.90910815939279</v>
      </c>
      <c r="F36" s="249">
        <f t="shared" si="16"/>
        <v>168.0415889096241</v>
      </c>
      <c r="G36" s="249">
        <f t="shared" si="16"/>
        <v>179.83310797759319</v>
      </c>
      <c r="H36" s="249">
        <f t="shared" si="16"/>
        <v>215.15925603022376</v>
      </c>
      <c r="I36" s="249">
        <f t="shared" si="16"/>
        <v>190.69941348973609</v>
      </c>
      <c r="J36" s="249">
        <f t="shared" si="16"/>
        <v>185.3886626996555</v>
      </c>
      <c r="K36" s="249">
        <f t="shared" si="16"/>
        <v>219.29435483870967</v>
      </c>
      <c r="L36" s="249">
        <f t="shared" si="16"/>
        <v>261.21859986273165</v>
      </c>
      <c r="M36" s="249">
        <f t="shared" si="16"/>
        <v>227.11045943304006</v>
      </c>
      <c r="N36" s="249">
        <f t="shared" si="16"/>
        <v>190.01298701298703</v>
      </c>
      <c r="O36" s="249">
        <f t="shared" si="16"/>
        <v>205.82991202346039</v>
      </c>
      <c r="P36" s="249">
        <f t="shared" si="16"/>
        <v>200.73225806451612</v>
      </c>
      <c r="Q36" s="107">
        <f t="shared" si="16"/>
        <v>201.39665646338594</v>
      </c>
      <c r="R36" s="107">
        <v>202.03261306889451</v>
      </c>
      <c r="S36" s="108">
        <v>201.17766215747483</v>
      </c>
    </row>
    <row r="37" spans="1:19" s="21" customFormat="1" ht="15" customHeight="1">
      <c r="A37" s="217">
        <v>8</v>
      </c>
      <c r="B37" s="207" t="s">
        <v>46</v>
      </c>
      <c r="C37" s="21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44"/>
      <c r="R37" s="45"/>
      <c r="S37" s="46"/>
    </row>
    <row r="38" spans="1:19" s="21" customFormat="1" ht="18.95" customHeight="1">
      <c r="A38" s="243"/>
      <c r="B38" s="211" t="s">
        <v>47</v>
      </c>
      <c r="C38" s="212"/>
      <c r="D38" s="209">
        <v>5676</v>
      </c>
      <c r="E38" s="209">
        <v>2172</v>
      </c>
      <c r="F38" s="209">
        <v>14689</v>
      </c>
      <c r="G38" s="209">
        <f>16665+212</f>
        <v>16877</v>
      </c>
      <c r="H38" s="209">
        <v>4910</v>
      </c>
      <c r="I38" s="209">
        <v>11860</v>
      </c>
      <c r="J38" s="209">
        <v>4998</v>
      </c>
      <c r="K38" s="209">
        <v>5043</v>
      </c>
      <c r="L38" s="209">
        <v>3549</v>
      </c>
      <c r="M38" s="209">
        <v>2502</v>
      </c>
      <c r="N38" s="209">
        <v>981</v>
      </c>
      <c r="O38" s="209">
        <v>639</v>
      </c>
      <c r="P38" s="209">
        <v>2063</v>
      </c>
      <c r="Q38" s="37">
        <f>SUM(D38:P38)</f>
        <v>75959</v>
      </c>
      <c r="R38" s="97">
        <v>72873</v>
      </c>
      <c r="S38" s="98">
        <v>74761</v>
      </c>
    </row>
    <row r="39" spans="1:19" s="21" customFormat="1" ht="18.95" customHeight="1">
      <c r="A39" s="243"/>
      <c r="B39" s="211" t="s">
        <v>48</v>
      </c>
      <c r="C39" s="212"/>
      <c r="D39" s="209">
        <v>1212</v>
      </c>
      <c r="E39" s="209">
        <v>17929</v>
      </c>
      <c r="F39" s="209">
        <v>12014</v>
      </c>
      <c r="G39" s="209">
        <v>664</v>
      </c>
      <c r="H39" s="209">
        <v>1200</v>
      </c>
      <c r="I39" s="209">
        <v>0</v>
      </c>
      <c r="J39" s="209">
        <v>414</v>
      </c>
      <c r="K39" s="209">
        <v>1420</v>
      </c>
      <c r="L39" s="209">
        <v>1428</v>
      </c>
      <c r="M39" s="209">
        <v>2897</v>
      </c>
      <c r="N39" s="209">
        <v>2433</v>
      </c>
      <c r="O39" s="209">
        <v>3897</v>
      </c>
      <c r="P39" s="209">
        <v>6277</v>
      </c>
      <c r="Q39" s="37">
        <f>SUM(D39:P39)</f>
        <v>51785</v>
      </c>
      <c r="R39" s="44">
        <v>44593</v>
      </c>
      <c r="S39" s="20">
        <v>53232</v>
      </c>
    </row>
    <row r="40" spans="1:19" s="21" customFormat="1" ht="18.95" customHeight="1">
      <c r="A40" s="243"/>
      <c r="B40" s="211" t="s">
        <v>49</v>
      </c>
      <c r="C40" s="246"/>
      <c r="D40" s="250">
        <f t="shared" ref="D40:P40" si="17">SUM(D38:D39)</f>
        <v>6888</v>
      </c>
      <c r="E40" s="250">
        <f t="shared" si="17"/>
        <v>20101</v>
      </c>
      <c r="F40" s="250">
        <f t="shared" si="17"/>
        <v>26703</v>
      </c>
      <c r="G40" s="250">
        <f t="shared" si="17"/>
        <v>17541</v>
      </c>
      <c r="H40" s="250">
        <f t="shared" si="17"/>
        <v>6110</v>
      </c>
      <c r="I40" s="250">
        <f>SUM(I38:I39)</f>
        <v>11860</v>
      </c>
      <c r="J40" s="250">
        <f>SUM(J38:J39)</f>
        <v>5412</v>
      </c>
      <c r="K40" s="250">
        <f t="shared" si="17"/>
        <v>6463</v>
      </c>
      <c r="L40" s="250">
        <f t="shared" si="17"/>
        <v>4977</v>
      </c>
      <c r="M40" s="250">
        <f>SUM(M38:M39)</f>
        <v>5399</v>
      </c>
      <c r="N40" s="250">
        <f t="shared" si="17"/>
        <v>3414</v>
      </c>
      <c r="O40" s="250">
        <f t="shared" si="17"/>
        <v>4536</v>
      </c>
      <c r="P40" s="250">
        <f t="shared" si="17"/>
        <v>8340</v>
      </c>
      <c r="Q40" s="68">
        <f>SUM(D40:P40)</f>
        <v>127744</v>
      </c>
      <c r="R40" s="68">
        <v>117466</v>
      </c>
      <c r="S40" s="69">
        <v>127993</v>
      </c>
    </row>
    <row r="41" spans="1:19" s="21" customFormat="1" ht="18.95" customHeight="1">
      <c r="A41" s="210"/>
      <c r="B41" s="211" t="s">
        <v>50</v>
      </c>
      <c r="C41" s="212"/>
      <c r="D41" s="251">
        <f t="shared" ref="D41:P41" si="18">ROUND((D38)/$C5,0)</f>
        <v>183</v>
      </c>
      <c r="E41" s="251">
        <f t="shared" si="18"/>
        <v>70</v>
      </c>
      <c r="F41" s="251">
        <f t="shared" si="18"/>
        <v>474</v>
      </c>
      <c r="G41" s="251">
        <f t="shared" si="18"/>
        <v>544</v>
      </c>
      <c r="H41" s="251">
        <f t="shared" si="18"/>
        <v>158</v>
      </c>
      <c r="I41" s="251">
        <f t="shared" si="18"/>
        <v>383</v>
      </c>
      <c r="J41" s="251">
        <f t="shared" si="18"/>
        <v>161</v>
      </c>
      <c r="K41" s="251">
        <f t="shared" si="18"/>
        <v>163</v>
      </c>
      <c r="L41" s="251">
        <f t="shared" si="18"/>
        <v>114</v>
      </c>
      <c r="M41" s="251">
        <f t="shared" si="18"/>
        <v>81</v>
      </c>
      <c r="N41" s="251">
        <f t="shared" si="18"/>
        <v>32</v>
      </c>
      <c r="O41" s="251">
        <f t="shared" si="18"/>
        <v>21</v>
      </c>
      <c r="P41" s="251">
        <f t="shared" si="18"/>
        <v>67</v>
      </c>
      <c r="Q41" s="37">
        <f>Q38/C5</f>
        <v>2450.2903225806454</v>
      </c>
      <c r="R41" s="37">
        <v>2350.7419354838707</v>
      </c>
      <c r="S41" s="38">
        <v>2411.6451612903224</v>
      </c>
    </row>
    <row r="42" spans="1:19" s="21" customFormat="1" ht="18.95" customHeight="1">
      <c r="A42" s="210"/>
      <c r="B42" s="211" t="s">
        <v>51</v>
      </c>
      <c r="C42" s="212"/>
      <c r="D42" s="222">
        <f>SUM(D39/C5)</f>
        <v>39.096774193548384</v>
      </c>
      <c r="E42" s="222">
        <f>SUM(E39/C5)</f>
        <v>578.35483870967744</v>
      </c>
      <c r="F42" s="222">
        <f>SUM(F39/C5)</f>
        <v>387.54838709677421</v>
      </c>
      <c r="G42" s="222">
        <f>SUM(G39/C5)</f>
        <v>21.419354838709676</v>
      </c>
      <c r="H42" s="222">
        <f>SUM(H39/C5)</f>
        <v>38.70967741935484</v>
      </c>
      <c r="I42" s="222">
        <f>SUM(I39/C5)</f>
        <v>0</v>
      </c>
      <c r="J42" s="222">
        <f>SUM(J39/C5)</f>
        <v>13.35483870967742</v>
      </c>
      <c r="K42" s="222">
        <f>SUM(K39/C5)</f>
        <v>45.806451612903224</v>
      </c>
      <c r="L42" s="222">
        <f>SUM(L39/C5)</f>
        <v>46.064516129032256</v>
      </c>
      <c r="M42" s="222">
        <f>SUM(M39/C5)</f>
        <v>93.451612903225808</v>
      </c>
      <c r="N42" s="222">
        <f>SUM(N39/C5)</f>
        <v>78.483870967741936</v>
      </c>
      <c r="O42" s="222">
        <f>SUM(O39/C5)</f>
        <v>125.70967741935483</v>
      </c>
      <c r="P42" s="222">
        <f>SUM(P39/C5)</f>
        <v>202.48387096774192</v>
      </c>
      <c r="Q42" s="37">
        <f>Q39/C5</f>
        <v>1670.483870967742</v>
      </c>
      <c r="R42" s="37">
        <v>1438.483870967742</v>
      </c>
      <c r="S42" s="69">
        <v>1717.1612903225807</v>
      </c>
    </row>
    <row r="43" spans="1:19" s="21" customFormat="1" ht="27.75" customHeight="1">
      <c r="A43" s="210"/>
      <c r="B43" s="211" t="s">
        <v>52</v>
      </c>
      <c r="C43" s="212"/>
      <c r="D43" s="222">
        <f t="shared" ref="D43:P43" si="19">SUM(D41:D42)</f>
        <v>222.09677419354838</v>
      </c>
      <c r="E43" s="222">
        <f t="shared" si="19"/>
        <v>648.35483870967744</v>
      </c>
      <c r="F43" s="222">
        <f t="shared" si="19"/>
        <v>861.54838709677415</v>
      </c>
      <c r="G43" s="222">
        <f t="shared" si="19"/>
        <v>565.41935483870964</v>
      </c>
      <c r="H43" s="222">
        <f t="shared" si="19"/>
        <v>196.70967741935485</v>
      </c>
      <c r="I43" s="222">
        <f>SUM(I41:I42)</f>
        <v>383</v>
      </c>
      <c r="J43" s="222">
        <f>SUM(J41:J42)</f>
        <v>174.35483870967741</v>
      </c>
      <c r="K43" s="222">
        <f t="shared" si="19"/>
        <v>208.80645161290323</v>
      </c>
      <c r="L43" s="222">
        <f t="shared" si="19"/>
        <v>160.06451612903226</v>
      </c>
      <c r="M43" s="222">
        <f>SUM(M41:M42)</f>
        <v>174.45161290322579</v>
      </c>
      <c r="N43" s="222">
        <f t="shared" si="19"/>
        <v>110.48387096774194</v>
      </c>
      <c r="O43" s="222">
        <f t="shared" si="19"/>
        <v>146.70967741935482</v>
      </c>
      <c r="P43" s="222">
        <f t="shared" si="19"/>
        <v>269.48387096774195</v>
      </c>
      <c r="Q43" s="37">
        <f>Q40/C5</f>
        <v>4120.7741935483873</v>
      </c>
      <c r="R43" s="37">
        <v>3789.2258064516127</v>
      </c>
      <c r="S43" s="38">
        <v>4128.8064516129034</v>
      </c>
    </row>
    <row r="44" spans="1:19" s="21" customFormat="1" ht="18.95" customHeight="1">
      <c r="A44" s="210"/>
      <c r="B44" s="211" t="s">
        <v>53</v>
      </c>
      <c r="C44" s="212"/>
      <c r="D44" s="209">
        <v>15801</v>
      </c>
      <c r="E44" s="209">
        <v>17236</v>
      </c>
      <c r="F44" s="209">
        <v>15495</v>
      </c>
      <c r="G44" s="209">
        <v>13423</v>
      </c>
      <c r="H44" s="209">
        <v>5766</v>
      </c>
      <c r="I44" s="209">
        <v>6696</v>
      </c>
      <c r="J44" s="209">
        <v>2265</v>
      </c>
      <c r="K44" s="209">
        <v>4774</v>
      </c>
      <c r="L44" s="209">
        <v>3592</v>
      </c>
      <c r="M44" s="209">
        <v>9013</v>
      </c>
      <c r="N44" s="209">
        <v>1560</v>
      </c>
      <c r="O44" s="209">
        <v>1860</v>
      </c>
      <c r="P44" s="209">
        <v>3475</v>
      </c>
      <c r="Q44" s="76">
        <f>SUM(D44:P44)</f>
        <v>100956</v>
      </c>
      <c r="R44" s="37">
        <v>102141</v>
      </c>
      <c r="S44" s="38">
        <v>99100</v>
      </c>
    </row>
    <row r="45" spans="1:19" s="21" customFormat="1" ht="18.95" customHeight="1">
      <c r="A45" s="252"/>
      <c r="B45" s="253" t="s">
        <v>54</v>
      </c>
      <c r="C45" s="254"/>
      <c r="D45" s="255">
        <f t="shared" ref="D45:P45" si="20">ROUND((D44)/$C5,0)</f>
        <v>510</v>
      </c>
      <c r="E45" s="255">
        <f t="shared" si="20"/>
        <v>556</v>
      </c>
      <c r="F45" s="255">
        <f t="shared" si="20"/>
        <v>500</v>
      </c>
      <c r="G45" s="255">
        <f t="shared" si="20"/>
        <v>433</v>
      </c>
      <c r="H45" s="255">
        <f t="shared" si="20"/>
        <v>186</v>
      </c>
      <c r="I45" s="255">
        <f t="shared" si="20"/>
        <v>216</v>
      </c>
      <c r="J45" s="255">
        <f t="shared" si="20"/>
        <v>73</v>
      </c>
      <c r="K45" s="255">
        <f t="shared" si="20"/>
        <v>154</v>
      </c>
      <c r="L45" s="255">
        <f t="shared" si="20"/>
        <v>116</v>
      </c>
      <c r="M45" s="255">
        <f t="shared" si="20"/>
        <v>291</v>
      </c>
      <c r="N45" s="255">
        <f t="shared" si="20"/>
        <v>50</v>
      </c>
      <c r="O45" s="255">
        <f t="shared" si="20"/>
        <v>60</v>
      </c>
      <c r="P45" s="255">
        <f t="shared" si="20"/>
        <v>112</v>
      </c>
      <c r="Q45" s="59">
        <f>Q44/C5</f>
        <v>3256.6451612903224</v>
      </c>
      <c r="R45" s="59">
        <v>3294.8709677419356</v>
      </c>
      <c r="S45" s="60">
        <v>3196.7741935483873</v>
      </c>
    </row>
    <row r="46" spans="1:19" ht="18.95" customHeight="1">
      <c r="A46" s="256">
        <v>9</v>
      </c>
      <c r="B46" s="257" t="s">
        <v>173</v>
      </c>
      <c r="C46" s="258"/>
      <c r="D46" s="209">
        <v>514315</v>
      </c>
      <c r="E46" s="209">
        <v>78315</v>
      </c>
      <c r="F46" s="209">
        <v>420595</v>
      </c>
      <c r="G46" s="209">
        <f>466678+12191</f>
        <v>478869</v>
      </c>
      <c r="H46" s="209">
        <v>554427</v>
      </c>
      <c r="I46" s="209">
        <v>354059</v>
      </c>
      <c r="J46" s="209">
        <v>459897</v>
      </c>
      <c r="K46" s="209">
        <v>364168</v>
      </c>
      <c r="L46" s="209">
        <v>334383</v>
      </c>
      <c r="M46" s="209">
        <v>122743</v>
      </c>
      <c r="N46" s="209">
        <v>45519</v>
      </c>
      <c r="O46" s="209">
        <v>41323</v>
      </c>
      <c r="P46" s="209">
        <v>92663</v>
      </c>
      <c r="Q46" s="45">
        <f>SUM(D46:P46)</f>
        <v>3861276</v>
      </c>
      <c r="R46" s="169">
        <v>4032276</v>
      </c>
      <c r="S46" s="46">
        <v>4005955</v>
      </c>
    </row>
    <row r="47" spans="1:19" ht="18.95" customHeight="1">
      <c r="A47" s="210"/>
      <c r="B47" s="207" t="s">
        <v>56</v>
      </c>
      <c r="C47" s="212"/>
      <c r="D47" s="209">
        <v>87957</v>
      </c>
      <c r="E47" s="209">
        <v>620470</v>
      </c>
      <c r="F47" s="209">
        <v>181294</v>
      </c>
      <c r="G47" s="209">
        <v>36390</v>
      </c>
      <c r="H47" s="209">
        <v>101638</v>
      </c>
      <c r="I47" s="209">
        <v>0</v>
      </c>
      <c r="J47" s="209">
        <v>11732</v>
      </c>
      <c r="K47" s="209">
        <v>104075</v>
      </c>
      <c r="L47" s="209">
        <v>44565</v>
      </c>
      <c r="M47" s="209">
        <v>491933</v>
      </c>
      <c r="N47" s="209">
        <v>135345</v>
      </c>
      <c r="O47" s="209">
        <v>254337</v>
      </c>
      <c r="P47" s="209">
        <v>168061</v>
      </c>
      <c r="Q47" s="37">
        <f>SUM(D47:P47)</f>
        <v>2237797</v>
      </c>
      <c r="R47" s="37">
        <v>1983681</v>
      </c>
      <c r="S47" s="38">
        <v>2097823</v>
      </c>
    </row>
    <row r="48" spans="1:19" s="57" customFormat="1" ht="15.75" customHeight="1">
      <c r="A48" s="235"/>
      <c r="B48" s="236" t="s">
        <v>187</v>
      </c>
      <c r="C48" s="237"/>
      <c r="D48" s="259">
        <f t="shared" ref="D48:P48" si="21">SUM(D46:D47)</f>
        <v>602272</v>
      </c>
      <c r="E48" s="259">
        <f t="shared" si="21"/>
        <v>698785</v>
      </c>
      <c r="F48" s="259">
        <f t="shared" si="21"/>
        <v>601889</v>
      </c>
      <c r="G48" s="259">
        <f t="shared" si="21"/>
        <v>515259</v>
      </c>
      <c r="H48" s="259">
        <f t="shared" si="21"/>
        <v>656065</v>
      </c>
      <c r="I48" s="259">
        <f>SUM(I46:I47)</f>
        <v>354059</v>
      </c>
      <c r="J48" s="259">
        <f>SUM(J46:J47)</f>
        <v>471629</v>
      </c>
      <c r="K48" s="259">
        <f t="shared" si="21"/>
        <v>468243</v>
      </c>
      <c r="L48" s="259">
        <f t="shared" si="21"/>
        <v>378948</v>
      </c>
      <c r="M48" s="259">
        <f>SUM(M46:M47)</f>
        <v>614676</v>
      </c>
      <c r="N48" s="259">
        <f t="shared" si="21"/>
        <v>180864</v>
      </c>
      <c r="O48" s="259">
        <f t="shared" si="21"/>
        <v>295660</v>
      </c>
      <c r="P48" s="259">
        <f t="shared" si="21"/>
        <v>260724</v>
      </c>
      <c r="Q48" s="85">
        <f>SUM(D48:P48)</f>
        <v>6099073</v>
      </c>
      <c r="R48" s="170">
        <v>6015957</v>
      </c>
      <c r="S48" s="69">
        <v>6103778</v>
      </c>
    </row>
    <row r="49" spans="1:19" ht="25.5">
      <c r="A49" s="217"/>
      <c r="B49" s="207" t="s">
        <v>58</v>
      </c>
      <c r="C49" s="218"/>
      <c r="D49" s="248">
        <f>SUM(D46/C5)</f>
        <v>16590.806451612902</v>
      </c>
      <c r="E49" s="248">
        <f>SUM(E46/C5)</f>
        <v>2526.2903225806454</v>
      </c>
      <c r="F49" s="248">
        <f>SUM(F46/C5)</f>
        <v>13567.58064516129</v>
      </c>
      <c r="G49" s="248">
        <f>SUM(G46/C5)</f>
        <v>15447.387096774193</v>
      </c>
      <c r="H49" s="248">
        <f>SUM(H46/C5)</f>
        <v>17884.741935483871</v>
      </c>
      <c r="I49" s="248">
        <f>SUM(I46/C5)</f>
        <v>11421.258064516129</v>
      </c>
      <c r="J49" s="248">
        <f>SUM(J46/C5)</f>
        <v>14835.387096774193</v>
      </c>
      <c r="K49" s="248">
        <f>SUM(K46/C5)</f>
        <v>11747.354838709678</v>
      </c>
      <c r="L49" s="248">
        <f>SUM(L46/C5)</f>
        <v>10786.548387096775</v>
      </c>
      <c r="M49" s="248">
        <f>SUM(M46/C5)</f>
        <v>3959.4516129032259</v>
      </c>
      <c r="N49" s="248">
        <f>SUM(N46/C5)</f>
        <v>1468.3548387096773</v>
      </c>
      <c r="O49" s="248">
        <f>SUM(O46/C5)</f>
        <v>1333</v>
      </c>
      <c r="P49" s="248">
        <f>SUM(P46/C5)</f>
        <v>2989.1290322580644</v>
      </c>
      <c r="Q49" s="45">
        <f>Q46/C5</f>
        <v>124557.29032258065</v>
      </c>
      <c r="R49" s="37">
        <v>130073.41935483871</v>
      </c>
      <c r="S49" s="38">
        <v>129224.35483870968</v>
      </c>
    </row>
    <row r="50" spans="1:19" ht="18.95" customHeight="1">
      <c r="A50" s="210"/>
      <c r="B50" s="207" t="s">
        <v>59</v>
      </c>
      <c r="C50" s="212"/>
      <c r="D50" s="222">
        <f>SUM(D47/C5)</f>
        <v>2837.3225806451615</v>
      </c>
      <c r="E50" s="222">
        <f>SUM(E47/C5)</f>
        <v>20015.16129032258</v>
      </c>
      <c r="F50" s="222">
        <f>SUM(F47/C5)</f>
        <v>5848.1935483870966</v>
      </c>
      <c r="G50" s="222">
        <f>SUM(G47/C5)</f>
        <v>1173.8709677419354</v>
      </c>
      <c r="H50" s="222">
        <f>SUM(H47/C5)</f>
        <v>3278.6451612903224</v>
      </c>
      <c r="I50" s="222">
        <f>SUM(I47/C5)</f>
        <v>0</v>
      </c>
      <c r="J50" s="222">
        <f>SUM(J47/C5)</f>
        <v>378.45161290322579</v>
      </c>
      <c r="K50" s="222">
        <f>SUM(K47/C5)</f>
        <v>3357.2580645161293</v>
      </c>
      <c r="L50" s="222">
        <f>SUM(L47/C5)</f>
        <v>1437.5806451612902</v>
      </c>
      <c r="M50" s="222">
        <f>SUM(M47/C5)</f>
        <v>15868.806451612903</v>
      </c>
      <c r="N50" s="222">
        <f>SUM(N47/C5)</f>
        <v>4365.9677419354839</v>
      </c>
      <c r="O50" s="222">
        <f>SUM(O47/C5)</f>
        <v>8204.4193548387102</v>
      </c>
      <c r="P50" s="222">
        <f>SUM(P47/C5)</f>
        <v>5421.322580645161</v>
      </c>
      <c r="Q50" s="37">
        <f>Q47/C5</f>
        <v>72187</v>
      </c>
      <c r="R50" s="36">
        <v>63989.709677419356</v>
      </c>
      <c r="S50" s="317">
        <v>67671.709677419349</v>
      </c>
    </row>
    <row r="51" spans="1:19" ht="18.75" customHeight="1">
      <c r="A51" s="223"/>
      <c r="B51" s="224" t="s">
        <v>60</v>
      </c>
      <c r="C51" s="225"/>
      <c r="D51" s="238">
        <f t="shared" ref="D51:P51" si="22">SUM(D49:D50)</f>
        <v>19428.129032258064</v>
      </c>
      <c r="E51" s="238">
        <f t="shared" si="22"/>
        <v>22541.451612903224</v>
      </c>
      <c r="F51" s="238">
        <f t="shared" si="22"/>
        <v>19415.774193548386</v>
      </c>
      <c r="G51" s="238">
        <f t="shared" si="22"/>
        <v>16621.258064516129</v>
      </c>
      <c r="H51" s="238">
        <f t="shared" si="22"/>
        <v>21163.387096774193</v>
      </c>
      <c r="I51" s="238">
        <f>SUM(I49:I50)</f>
        <v>11421.258064516129</v>
      </c>
      <c r="J51" s="238">
        <f>SUM(J49:J50)</f>
        <v>15213.838709677419</v>
      </c>
      <c r="K51" s="238">
        <f t="shared" si="22"/>
        <v>15104.612903225807</v>
      </c>
      <c r="L51" s="238">
        <f t="shared" si="22"/>
        <v>12224.129032258064</v>
      </c>
      <c r="M51" s="238">
        <f>SUM(M49:M50)</f>
        <v>19828.258064516129</v>
      </c>
      <c r="N51" s="238">
        <f t="shared" si="22"/>
        <v>5834.322580645161</v>
      </c>
      <c r="O51" s="238">
        <f t="shared" si="22"/>
        <v>9537.4193548387102</v>
      </c>
      <c r="P51" s="238">
        <f t="shared" si="22"/>
        <v>8410.4516129032254</v>
      </c>
      <c r="Q51" s="59">
        <f>Q48/C5</f>
        <v>196744.29032258064</v>
      </c>
      <c r="R51" s="59">
        <v>194063.12903225806</v>
      </c>
      <c r="S51" s="60">
        <v>196896.06451612903</v>
      </c>
    </row>
    <row r="52" spans="1:19" s="33" customFormat="1" ht="18.95" customHeight="1">
      <c r="A52" s="244">
        <v>10</v>
      </c>
      <c r="B52" s="245" t="s">
        <v>61</v>
      </c>
      <c r="C52" s="260"/>
      <c r="D52" s="248">
        <f t="shared" ref="D52:Q52" si="23">D27-D34</f>
        <v>323298</v>
      </c>
      <c r="E52" s="248">
        <f t="shared" si="23"/>
        <v>395286</v>
      </c>
      <c r="F52" s="248">
        <f t="shared" si="23"/>
        <v>339480</v>
      </c>
      <c r="G52" s="248">
        <f t="shared" si="23"/>
        <v>352494</v>
      </c>
      <c r="H52" s="248">
        <f t="shared" si="23"/>
        <v>260116</v>
      </c>
      <c r="I52" s="248">
        <f t="shared" si="23"/>
        <v>104608</v>
      </c>
      <c r="J52" s="248">
        <f t="shared" si="23"/>
        <v>179204</v>
      </c>
      <c r="K52" s="248">
        <f t="shared" si="23"/>
        <v>434754</v>
      </c>
      <c r="L52" s="248">
        <f t="shared" si="23"/>
        <v>56167</v>
      </c>
      <c r="M52" s="248">
        <f t="shared" si="23"/>
        <v>254851</v>
      </c>
      <c r="N52" s="248">
        <f t="shared" si="23"/>
        <v>120277</v>
      </c>
      <c r="O52" s="248">
        <f t="shared" si="23"/>
        <v>152581</v>
      </c>
      <c r="P52" s="248">
        <f t="shared" si="23"/>
        <v>31489</v>
      </c>
      <c r="Q52" s="45">
        <f t="shared" si="23"/>
        <v>3004605</v>
      </c>
      <c r="R52" s="45">
        <v>3024664</v>
      </c>
      <c r="S52" s="46">
        <v>3355844.8999999985</v>
      </c>
    </row>
    <row r="53" spans="1:19" ht="18.95" customHeight="1">
      <c r="A53" s="223"/>
      <c r="B53" s="224" t="s">
        <v>62</v>
      </c>
      <c r="C53" s="225"/>
      <c r="D53" s="238">
        <f>SUM(D52/C5)</f>
        <v>10428.967741935483</v>
      </c>
      <c r="E53" s="238">
        <f>SUM(E52/C5)</f>
        <v>12751.161290322581</v>
      </c>
      <c r="F53" s="238">
        <f>SUM(F52/C5)</f>
        <v>10950.967741935483</v>
      </c>
      <c r="G53" s="238">
        <f>SUM(G52/C5)</f>
        <v>11370.774193548386</v>
      </c>
      <c r="H53" s="238">
        <f>SUM(H52/C5)</f>
        <v>8390.8387096774186</v>
      </c>
      <c r="I53" s="238">
        <f>SUM(I52/C5)</f>
        <v>3374.4516129032259</v>
      </c>
      <c r="J53" s="238">
        <f>SUM(J52/C5)</f>
        <v>5780.7741935483873</v>
      </c>
      <c r="K53" s="238">
        <f>SUM(K52/C5)</f>
        <v>14024.322580645161</v>
      </c>
      <c r="L53" s="238">
        <f>SUM(L52/C5)</f>
        <v>1811.8387096774193</v>
      </c>
      <c r="M53" s="238">
        <f>SUM(M52/C5)</f>
        <v>8221</v>
      </c>
      <c r="N53" s="238">
        <f>SUM(N52/C5)</f>
        <v>3879.9032258064517</v>
      </c>
      <c r="O53" s="238">
        <f>SUM(O52/C5)</f>
        <v>4921.9677419354839</v>
      </c>
      <c r="P53" s="238">
        <f>SUM(P52/C5)</f>
        <v>1015.7741935483871</v>
      </c>
      <c r="Q53" s="59">
        <f>SUM(Q52/C5)</f>
        <v>96922.741935483864</v>
      </c>
      <c r="R53" s="59">
        <v>97569.806451612909</v>
      </c>
      <c r="S53" s="60">
        <v>108253.06129032253</v>
      </c>
    </row>
    <row r="54" spans="1:19" s="15" customFormat="1" ht="25.5">
      <c r="A54" s="206">
        <v>11</v>
      </c>
      <c r="B54" s="207" t="s">
        <v>63</v>
      </c>
      <c r="C54" s="220"/>
      <c r="D54" s="272">
        <v>27342522</v>
      </c>
      <c r="E54" s="272">
        <v>40933887</v>
      </c>
      <c r="F54" s="272">
        <v>30291508</v>
      </c>
      <c r="G54" s="272">
        <v>46756769</v>
      </c>
      <c r="H54" s="272">
        <v>30547560</v>
      </c>
      <c r="I54" s="272">
        <v>17622187</v>
      </c>
      <c r="J54" s="272">
        <v>26999057</v>
      </c>
      <c r="K54" s="272">
        <v>35235315</v>
      </c>
      <c r="L54" s="272">
        <v>26975560</v>
      </c>
      <c r="M54" s="272">
        <v>22664985</v>
      </c>
      <c r="N54" s="272">
        <v>19481585</v>
      </c>
      <c r="O54" s="272">
        <v>15221142</v>
      </c>
      <c r="P54" s="272">
        <v>9778340</v>
      </c>
      <c r="Q54" s="87">
        <f>SUM(D54:P54)</f>
        <v>349850417</v>
      </c>
      <c r="R54" s="45">
        <v>356566449</v>
      </c>
      <c r="S54" s="46">
        <v>352617367</v>
      </c>
    </row>
    <row r="55" spans="1:19" s="21" customFormat="1" ht="18.95" customHeight="1">
      <c r="A55" s="210"/>
      <c r="B55" s="211" t="s">
        <v>64</v>
      </c>
      <c r="C55" s="212"/>
      <c r="D55" s="228">
        <f t="shared" ref="D55:P55" si="24">ROUND((D54)/$C5,0)</f>
        <v>882017</v>
      </c>
      <c r="E55" s="228">
        <f t="shared" si="24"/>
        <v>1320448</v>
      </c>
      <c r="F55" s="228">
        <f t="shared" si="24"/>
        <v>977145</v>
      </c>
      <c r="G55" s="228">
        <f t="shared" si="24"/>
        <v>1508283</v>
      </c>
      <c r="H55" s="228">
        <f t="shared" si="24"/>
        <v>985405</v>
      </c>
      <c r="I55" s="228">
        <f t="shared" si="24"/>
        <v>568458</v>
      </c>
      <c r="J55" s="228">
        <f t="shared" si="24"/>
        <v>870937</v>
      </c>
      <c r="K55" s="228">
        <f t="shared" si="24"/>
        <v>1136623</v>
      </c>
      <c r="L55" s="228">
        <f t="shared" si="24"/>
        <v>870179</v>
      </c>
      <c r="M55" s="228">
        <f t="shared" si="24"/>
        <v>731129</v>
      </c>
      <c r="N55" s="228">
        <f t="shared" si="24"/>
        <v>628438</v>
      </c>
      <c r="O55" s="228">
        <f t="shared" si="24"/>
        <v>491005</v>
      </c>
      <c r="P55" s="228">
        <f t="shared" si="24"/>
        <v>315430</v>
      </c>
      <c r="Q55" s="45">
        <f>SUM(D55:P55)</f>
        <v>11285497</v>
      </c>
      <c r="R55" s="37">
        <v>11502144</v>
      </c>
      <c r="S55" s="38">
        <v>11374754</v>
      </c>
    </row>
    <row r="56" spans="1:19" s="15" customFormat="1" ht="18.95" customHeight="1">
      <c r="A56" s="261"/>
      <c r="B56" s="231" t="s">
        <v>65</v>
      </c>
      <c r="C56" s="262"/>
      <c r="D56" s="263">
        <f>SUM(D55/D65)</f>
        <v>13.405210291347624</v>
      </c>
      <c r="E56" s="263">
        <f t="shared" ref="E56:Q56" si="25">SUM(E55/E65)</f>
        <v>14.937783272731519</v>
      </c>
      <c r="F56" s="263">
        <f t="shared" si="25"/>
        <v>12.84015076789129</v>
      </c>
      <c r="G56" s="263">
        <f t="shared" si="25"/>
        <v>12.913010949751774</v>
      </c>
      <c r="H56" s="263">
        <f t="shared" si="25"/>
        <v>14.00585542049356</v>
      </c>
      <c r="I56" s="263">
        <f>SUM(I55/I65)</f>
        <v>12.254879434537759</v>
      </c>
      <c r="J56" s="263">
        <f>SUM(J55/J65)</f>
        <v>13.349561204212479</v>
      </c>
      <c r="K56" s="263">
        <f t="shared" si="25"/>
        <v>14.938598179656722</v>
      </c>
      <c r="L56" s="263">
        <f t="shared" si="25"/>
        <v>16.225698938960132</v>
      </c>
      <c r="M56" s="263">
        <f>SUM(M55/M65)</f>
        <v>14.362844179134743</v>
      </c>
      <c r="N56" s="263">
        <f t="shared" si="25"/>
        <v>13.086381257090961</v>
      </c>
      <c r="O56" s="263">
        <f t="shared" si="25"/>
        <v>14.16837397200981</v>
      </c>
      <c r="P56" s="263">
        <f t="shared" si="25"/>
        <v>13.423585066250801</v>
      </c>
      <c r="Q56" s="90">
        <f t="shared" si="25"/>
        <v>13.832356970788121</v>
      </c>
      <c r="R56" s="183">
        <v>13.820141498846557</v>
      </c>
      <c r="S56" s="180">
        <v>13.944712847387065</v>
      </c>
    </row>
    <row r="57" spans="1:19" s="21" customFormat="1" ht="25.5">
      <c r="A57" s="252"/>
      <c r="B57" s="253" t="s">
        <v>66</v>
      </c>
      <c r="C57" s="254"/>
      <c r="D57" s="320">
        <f t="shared" ref="D57:Q57" si="26">SUM(D55/D17)</f>
        <v>7170.8699186991871</v>
      </c>
      <c r="E57" s="320">
        <f t="shared" si="26"/>
        <v>7767.3411764705879</v>
      </c>
      <c r="F57" s="320">
        <f t="shared" si="26"/>
        <v>8075.5785123966944</v>
      </c>
      <c r="G57" s="320">
        <f t="shared" si="26"/>
        <v>9031.6347305389227</v>
      </c>
      <c r="H57" s="320">
        <f t="shared" si="26"/>
        <v>8877.5225225225222</v>
      </c>
      <c r="I57" s="320">
        <f t="shared" si="26"/>
        <v>8613</v>
      </c>
      <c r="J57" s="320">
        <f t="shared" si="26"/>
        <v>8455.6990291262136</v>
      </c>
      <c r="K57" s="320">
        <f t="shared" si="26"/>
        <v>7893.2152777777774</v>
      </c>
      <c r="L57" s="320">
        <f t="shared" si="26"/>
        <v>9257.2234042553191</v>
      </c>
      <c r="M57" s="320">
        <f t="shared" si="26"/>
        <v>7385.1414141414143</v>
      </c>
      <c r="N57" s="320">
        <f t="shared" si="26"/>
        <v>8161.5324675324673</v>
      </c>
      <c r="O57" s="320">
        <f t="shared" si="26"/>
        <v>8927.363636363636</v>
      </c>
      <c r="P57" s="320">
        <f t="shared" si="26"/>
        <v>7885.75</v>
      </c>
      <c r="Q57" s="92">
        <f t="shared" si="26"/>
        <v>8237.5890510948902</v>
      </c>
      <c r="R57" s="76">
        <v>8438.8437270726336</v>
      </c>
      <c r="S57" s="117">
        <v>8153.945519713262</v>
      </c>
    </row>
    <row r="58" spans="1:19" s="21" customFormat="1" ht="21.95" customHeight="1" thickBot="1">
      <c r="A58" s="264">
        <v>12</v>
      </c>
      <c r="B58" s="265" t="s">
        <v>67</v>
      </c>
      <c r="C58" s="266"/>
      <c r="D58" s="267">
        <f t="shared" ref="D58:Q58" si="27">SUM(D54)/D34</f>
        <v>38.529424944303763</v>
      </c>
      <c r="E58" s="267">
        <f t="shared" si="27"/>
        <v>38.279903042182447</v>
      </c>
      <c r="F58" s="267">
        <f t="shared" si="27"/>
        <v>48.057043679123751</v>
      </c>
      <c r="G58" s="267">
        <f t="shared" si="27"/>
        <v>50.222309225818371</v>
      </c>
      <c r="H58" s="267">
        <f t="shared" si="27"/>
        <v>41.26024666278569</v>
      </c>
      <c r="I58" s="267">
        <f t="shared" si="27"/>
        <v>45.165291628542356</v>
      </c>
      <c r="J58" s="267">
        <f t="shared" si="27"/>
        <v>45.610675635953278</v>
      </c>
      <c r="K58" s="267">
        <f t="shared" si="27"/>
        <v>35.993702307621589</v>
      </c>
      <c r="L58" s="267">
        <f t="shared" si="27"/>
        <v>35.438621843926164</v>
      </c>
      <c r="M58" s="267">
        <f t="shared" si="27"/>
        <v>32.517819174120014</v>
      </c>
      <c r="N58" s="267">
        <f t="shared" si="27"/>
        <v>42.952513553854942</v>
      </c>
      <c r="O58" s="267">
        <f t="shared" si="27"/>
        <v>43.372491024106687</v>
      </c>
      <c r="P58" s="267">
        <f t="shared" si="27"/>
        <v>39.284956690825524</v>
      </c>
      <c r="Q58" s="73">
        <f t="shared" si="27"/>
        <v>40.902314026513224</v>
      </c>
      <c r="R58" s="151">
        <v>41.76970858259677</v>
      </c>
      <c r="S58" s="152">
        <v>40.531067268602683</v>
      </c>
    </row>
    <row r="59" spans="1:19" s="15" customFormat="1" ht="15" thickTop="1">
      <c r="A59" s="206">
        <v>13</v>
      </c>
      <c r="B59" s="207" t="s">
        <v>68</v>
      </c>
      <c r="C59" s="220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13"/>
      <c r="R59" s="121"/>
      <c r="S59" s="140"/>
    </row>
    <row r="60" spans="1:19" s="21" customFormat="1" ht="18" customHeight="1">
      <c r="A60" s="210"/>
      <c r="B60" s="211" t="s">
        <v>69</v>
      </c>
      <c r="C60" s="212"/>
      <c r="D60" s="269">
        <f>SUM(D58)/69.04*100</f>
        <v>55.807394183522248</v>
      </c>
      <c r="E60" s="269">
        <f t="shared" ref="E60:O60" si="28">SUM(E58)/69.04*100</f>
        <v>55.445977755188935</v>
      </c>
      <c r="F60" s="269">
        <f t="shared" si="28"/>
        <v>69.607537194559313</v>
      </c>
      <c r="G60" s="269">
        <f t="shared" si="28"/>
        <v>72.743785089539927</v>
      </c>
      <c r="H60" s="269">
        <f t="shared" si="28"/>
        <v>59.762813822111362</v>
      </c>
      <c r="I60" s="269">
        <f t="shared" si="28"/>
        <v>65.419020319441415</v>
      </c>
      <c r="J60" s="269">
        <f t="shared" si="28"/>
        <v>66.064130411288062</v>
      </c>
      <c r="K60" s="269">
        <f t="shared" si="28"/>
        <v>52.134563017991866</v>
      </c>
      <c r="L60" s="269">
        <f t="shared" si="28"/>
        <v>51.330564663855974</v>
      </c>
      <c r="M60" s="269">
        <f t="shared" si="28"/>
        <v>47.099969835052157</v>
      </c>
      <c r="N60" s="269">
        <f t="shared" si="28"/>
        <v>62.213953583219784</v>
      </c>
      <c r="O60" s="269">
        <f t="shared" si="28"/>
        <v>62.822263939899599</v>
      </c>
      <c r="P60" s="269">
        <f>SUM(P58)/69.04*100</f>
        <v>56.901733329700932</v>
      </c>
      <c r="Q60" s="97">
        <f>SUM(Q58)/69.04*100</f>
        <v>59.244371417313467</v>
      </c>
      <c r="R60" s="97">
        <v>59.773481085570658</v>
      </c>
      <c r="S60" s="98">
        <v>57.6626366035036</v>
      </c>
    </row>
    <row r="61" spans="1:19" s="27" customFormat="1" ht="60">
      <c r="A61" s="244"/>
      <c r="B61" s="270" t="s">
        <v>176</v>
      </c>
      <c r="C61" s="246"/>
      <c r="D61" s="271">
        <f>D129/69.04*100</f>
        <v>72.257974487659197</v>
      </c>
      <c r="E61" s="271">
        <f t="shared" ref="E61:O61" si="29">E129/69.04*100</f>
        <v>74.028211829839236</v>
      </c>
      <c r="F61" s="271">
        <f t="shared" si="29"/>
        <v>85.595198420749909</v>
      </c>
      <c r="G61" s="271">
        <f t="shared" si="29"/>
        <v>88.708322828561151</v>
      </c>
      <c r="H61" s="271">
        <f t="shared" si="29"/>
        <v>77.673503132777626</v>
      </c>
      <c r="I61" s="271">
        <f t="shared" si="29"/>
        <v>81.780984835396097</v>
      </c>
      <c r="J61" s="271">
        <f t="shared" si="29"/>
        <v>82.004588337614365</v>
      </c>
      <c r="K61" s="271">
        <f t="shared" si="29"/>
        <v>68.77313936994301</v>
      </c>
      <c r="L61" s="271">
        <f t="shared" si="29"/>
        <v>71.616049040707111</v>
      </c>
      <c r="M61" s="271">
        <f t="shared" si="29"/>
        <v>64.018052253985331</v>
      </c>
      <c r="N61" s="271">
        <f t="shared" si="29"/>
        <v>79.139303973766957</v>
      </c>
      <c r="O61" s="271">
        <f t="shared" si="29"/>
        <v>79.231661712843362</v>
      </c>
      <c r="P61" s="271">
        <f>P129/69.04*100</f>
        <v>72.924957563063117</v>
      </c>
      <c r="Q61" s="100">
        <f>Q129/69.04*100</f>
        <v>76.37341523674786</v>
      </c>
      <c r="R61" s="90">
        <v>74.346487905886875</v>
      </c>
      <c r="S61" s="91">
        <v>73.099999999999994</v>
      </c>
    </row>
    <row r="62" spans="1:19" s="21" customFormat="1" ht="25.5">
      <c r="A62" s="210">
        <v>14</v>
      </c>
      <c r="B62" s="211" t="s">
        <v>71</v>
      </c>
      <c r="C62" s="262"/>
      <c r="D62" s="251" t="s">
        <v>72</v>
      </c>
      <c r="E62" s="251" t="s">
        <v>72</v>
      </c>
      <c r="F62" s="251" t="s">
        <v>72</v>
      </c>
      <c r="G62" s="251" t="s">
        <v>72</v>
      </c>
      <c r="H62" s="251" t="s">
        <v>72</v>
      </c>
      <c r="I62" s="251" t="s">
        <v>72</v>
      </c>
      <c r="J62" s="251" t="s">
        <v>72</v>
      </c>
      <c r="K62" s="251" t="s">
        <v>72</v>
      </c>
      <c r="L62" s="251" t="s">
        <v>72</v>
      </c>
      <c r="M62" s="251" t="s">
        <v>72</v>
      </c>
      <c r="N62" s="251" t="s">
        <v>72</v>
      </c>
      <c r="O62" s="251" t="s">
        <v>72</v>
      </c>
      <c r="P62" s="251" t="s">
        <v>72</v>
      </c>
      <c r="Q62" s="63">
        <v>76.98</v>
      </c>
      <c r="R62" s="97">
        <v>76.98</v>
      </c>
      <c r="S62" s="98">
        <v>85.19</v>
      </c>
    </row>
    <row r="63" spans="1:19" s="15" customFormat="1" ht="25.5">
      <c r="A63" s="261">
        <v>15</v>
      </c>
      <c r="B63" s="211" t="s">
        <v>73</v>
      </c>
      <c r="C63" s="262"/>
      <c r="D63" s="263">
        <f t="shared" ref="D63:Q63" si="30">D15/D8*100</f>
        <v>73.381294964028783</v>
      </c>
      <c r="E63" s="263">
        <f t="shared" si="30"/>
        <v>66.666666666666657</v>
      </c>
      <c r="F63" s="263">
        <f t="shared" si="30"/>
        <v>60.33519553072626</v>
      </c>
      <c r="G63" s="263">
        <f t="shared" si="30"/>
        <v>76.033057851239676</v>
      </c>
      <c r="H63" s="263">
        <f t="shared" si="30"/>
        <v>73.80952380952381</v>
      </c>
      <c r="I63" s="263">
        <f t="shared" si="30"/>
        <v>75.342465753424662</v>
      </c>
      <c r="J63" s="263">
        <f t="shared" si="30"/>
        <v>78.640776699029118</v>
      </c>
      <c r="K63" s="263">
        <f t="shared" si="30"/>
        <v>65.656565656565661</v>
      </c>
      <c r="L63" s="263">
        <f t="shared" si="30"/>
        <v>77.192982456140342</v>
      </c>
      <c r="M63" s="263">
        <f t="shared" si="30"/>
        <v>66.141732283464577</v>
      </c>
      <c r="N63" s="263">
        <f t="shared" si="30"/>
        <v>61.403508771929829</v>
      </c>
      <c r="O63" s="263">
        <f t="shared" si="30"/>
        <v>65.671641791044777</v>
      </c>
      <c r="P63" s="263">
        <f t="shared" si="30"/>
        <v>63.492063492063487</v>
      </c>
      <c r="Q63" s="90">
        <f t="shared" si="30"/>
        <v>69.25308194343728</v>
      </c>
      <c r="R63" s="100">
        <v>69.405722670579607</v>
      </c>
      <c r="S63" s="91">
        <v>67.37588652482269</v>
      </c>
    </row>
    <row r="64" spans="1:19" s="15" customFormat="1" ht="25.5">
      <c r="A64" s="261">
        <v>16</v>
      </c>
      <c r="B64" s="211" t="s">
        <v>74</v>
      </c>
      <c r="C64" s="262"/>
      <c r="D64" s="263">
        <f t="shared" ref="D64:Q64" si="31">SUM(D51/D15)</f>
        <v>190.471853257432</v>
      </c>
      <c r="E64" s="263">
        <f t="shared" si="31"/>
        <v>201.26296082949307</v>
      </c>
      <c r="F64" s="263">
        <f t="shared" si="31"/>
        <v>179.77568697729987</v>
      </c>
      <c r="G64" s="263">
        <f t="shared" si="31"/>
        <v>180.66584852734923</v>
      </c>
      <c r="H64" s="263">
        <f t="shared" si="31"/>
        <v>227.56330211585154</v>
      </c>
      <c r="I64" s="263">
        <f t="shared" si="31"/>
        <v>207.65923753665689</v>
      </c>
      <c r="J64" s="263">
        <f t="shared" si="31"/>
        <v>187.82516925527676</v>
      </c>
      <c r="K64" s="263">
        <f t="shared" si="31"/>
        <v>232.3786600496278</v>
      </c>
      <c r="L64" s="263">
        <f t="shared" si="31"/>
        <v>277.82111436950146</v>
      </c>
      <c r="M64" s="263">
        <f t="shared" si="31"/>
        <v>236.05069124423963</v>
      </c>
      <c r="N64" s="263">
        <f t="shared" si="31"/>
        <v>166.69493087557603</v>
      </c>
      <c r="O64" s="263">
        <f t="shared" si="31"/>
        <v>216.75953079178888</v>
      </c>
      <c r="P64" s="263">
        <f t="shared" si="31"/>
        <v>210.26129032258063</v>
      </c>
      <c r="Q64" s="90">
        <f t="shared" si="31"/>
        <v>206.0149636885661</v>
      </c>
      <c r="R64" s="97">
        <v>205.14072836390915</v>
      </c>
      <c r="S64" s="98">
        <v>207.25901528013583</v>
      </c>
    </row>
    <row r="65" spans="1:19" s="21" customFormat="1" ht="25.5">
      <c r="A65" s="217">
        <v>17</v>
      </c>
      <c r="B65" s="207" t="s">
        <v>75</v>
      </c>
      <c r="C65" s="220"/>
      <c r="D65" s="272">
        <v>65796.580645161288</v>
      </c>
      <c r="E65" s="272">
        <v>88396.516129032258</v>
      </c>
      <c r="F65" s="272">
        <v>76100.741935483864</v>
      </c>
      <c r="G65" s="272">
        <v>116803.35483870968</v>
      </c>
      <c r="H65" s="272">
        <v>70356.645161290318</v>
      </c>
      <c r="I65" s="272">
        <v>46386.258064516129</v>
      </c>
      <c r="J65" s="272">
        <v>65240.870967741932</v>
      </c>
      <c r="K65" s="272">
        <v>76086.322580645166</v>
      </c>
      <c r="L65" s="272">
        <v>53629.677419354841</v>
      </c>
      <c r="M65" s="272">
        <v>50904.193548387098</v>
      </c>
      <c r="N65" s="272">
        <v>48022.290322580644</v>
      </c>
      <c r="O65" s="272">
        <v>34655</v>
      </c>
      <c r="P65" s="272">
        <v>23498.193548387098</v>
      </c>
      <c r="Q65" s="45">
        <f>SUM(D65:P65)</f>
        <v>815876.6451612903</v>
      </c>
      <c r="R65" s="128">
        <v>832273.96774193528</v>
      </c>
      <c r="S65" s="317">
        <v>815703.70967741951</v>
      </c>
    </row>
    <row r="66" spans="1:19" s="15" customFormat="1">
      <c r="A66" s="232"/>
      <c r="B66" s="224" t="s">
        <v>76</v>
      </c>
      <c r="C66" s="234"/>
      <c r="D66" s="238">
        <f t="shared" ref="D66:Q66" si="32">SUM(D65/D17)</f>
        <v>534.93154996066085</v>
      </c>
      <c r="E66" s="238">
        <f t="shared" si="32"/>
        <v>519.97950664136624</v>
      </c>
      <c r="F66" s="238">
        <f t="shared" si="32"/>
        <v>628.93175153292452</v>
      </c>
      <c r="G66" s="238">
        <f t="shared" si="32"/>
        <v>699.4212864593394</v>
      </c>
      <c r="H66" s="238">
        <f t="shared" si="32"/>
        <v>633.84365010171462</v>
      </c>
      <c r="I66" s="238">
        <f t="shared" si="32"/>
        <v>702.82209188660806</v>
      </c>
      <c r="J66" s="238">
        <f t="shared" si="32"/>
        <v>633.40651424992166</v>
      </c>
      <c r="K66" s="238">
        <f t="shared" si="32"/>
        <v>528.37724014336925</v>
      </c>
      <c r="L66" s="238">
        <f t="shared" si="32"/>
        <v>570.528483184626</v>
      </c>
      <c r="M66" s="238">
        <f t="shared" si="32"/>
        <v>514.18377321603134</v>
      </c>
      <c r="N66" s="238">
        <f t="shared" si="32"/>
        <v>623.66610808546295</v>
      </c>
      <c r="O66" s="238">
        <f t="shared" si="32"/>
        <v>630.09090909090912</v>
      </c>
      <c r="P66" s="238">
        <f t="shared" si="32"/>
        <v>587.45483870967746</v>
      </c>
      <c r="Q66" s="59">
        <f t="shared" si="32"/>
        <v>595.53039792794914</v>
      </c>
      <c r="R66" s="187">
        <v>610.61919863678304</v>
      </c>
      <c r="S66" s="43">
        <v>584.73384206266633</v>
      </c>
    </row>
    <row r="67" spans="1:19" s="21" customFormat="1" ht="25.5">
      <c r="A67" s="217">
        <v>18</v>
      </c>
      <c r="B67" s="207" t="s">
        <v>77</v>
      </c>
      <c r="C67" s="220"/>
      <c r="D67" s="228" t="s">
        <v>72</v>
      </c>
      <c r="E67" s="228" t="s">
        <v>72</v>
      </c>
      <c r="F67" s="228" t="s">
        <v>72</v>
      </c>
      <c r="G67" s="228" t="s">
        <v>72</v>
      </c>
      <c r="H67" s="228" t="s">
        <v>72</v>
      </c>
      <c r="I67" s="228" t="s">
        <v>72</v>
      </c>
      <c r="J67" s="228" t="s">
        <v>72</v>
      </c>
      <c r="K67" s="228" t="s">
        <v>72</v>
      </c>
      <c r="L67" s="228" t="s">
        <v>72</v>
      </c>
      <c r="M67" s="228" t="s">
        <v>72</v>
      </c>
      <c r="N67" s="228" t="s">
        <v>72</v>
      </c>
      <c r="O67" s="228" t="s">
        <v>72</v>
      </c>
      <c r="P67" s="228" t="s">
        <v>72</v>
      </c>
      <c r="Q67" s="44">
        <v>783200</v>
      </c>
      <c r="R67" s="45">
        <v>684350</v>
      </c>
      <c r="S67" s="46">
        <v>715300</v>
      </c>
    </row>
    <row r="68" spans="1:19" s="15" customFormat="1" ht="25.5">
      <c r="A68" s="206">
        <v>19</v>
      </c>
      <c r="B68" s="207" t="s">
        <v>78</v>
      </c>
      <c r="C68" s="220"/>
      <c r="D68" s="209" t="s">
        <v>72</v>
      </c>
      <c r="E68" s="209" t="s">
        <v>72</v>
      </c>
      <c r="F68" s="209" t="s">
        <v>72</v>
      </c>
      <c r="G68" s="209" t="s">
        <v>72</v>
      </c>
      <c r="H68" s="209" t="s">
        <v>72</v>
      </c>
      <c r="I68" s="209" t="s">
        <v>72</v>
      </c>
      <c r="J68" s="209" t="s">
        <v>72</v>
      </c>
      <c r="K68" s="209" t="s">
        <v>72</v>
      </c>
      <c r="L68" s="209" t="s">
        <v>72</v>
      </c>
      <c r="M68" s="209" t="s">
        <v>72</v>
      </c>
      <c r="N68" s="209" t="s">
        <v>72</v>
      </c>
      <c r="O68" s="209" t="s">
        <v>72</v>
      </c>
      <c r="P68" s="209" t="s">
        <v>72</v>
      </c>
      <c r="Q68" s="13">
        <v>3</v>
      </c>
      <c r="R68" s="37">
        <v>0</v>
      </c>
      <c r="S68" s="38">
        <v>3</v>
      </c>
    </row>
    <row r="69" spans="1:19" s="15" customFormat="1" ht="20.25" customHeight="1">
      <c r="A69" s="232"/>
      <c r="B69" s="224" t="s">
        <v>79</v>
      </c>
      <c r="C69" s="234"/>
      <c r="D69" s="273" t="s">
        <v>72</v>
      </c>
      <c r="E69" s="273" t="s">
        <v>72</v>
      </c>
      <c r="F69" s="273" t="s">
        <v>72</v>
      </c>
      <c r="G69" s="273" t="s">
        <v>72</v>
      </c>
      <c r="H69" s="273" t="s">
        <v>72</v>
      </c>
      <c r="I69" s="273" t="s">
        <v>72</v>
      </c>
      <c r="J69" s="273" t="s">
        <v>72</v>
      </c>
      <c r="K69" s="273" t="s">
        <v>72</v>
      </c>
      <c r="L69" s="273" t="s">
        <v>72</v>
      </c>
      <c r="M69" s="273" t="s">
        <v>72</v>
      </c>
      <c r="N69" s="273" t="s">
        <v>72</v>
      </c>
      <c r="O69" s="273" t="s">
        <v>72</v>
      </c>
      <c r="P69" s="273" t="s">
        <v>72</v>
      </c>
      <c r="Q69" s="105">
        <v>6</v>
      </c>
      <c r="R69" s="80">
        <v>0</v>
      </c>
      <c r="S69" s="318">
        <v>4</v>
      </c>
    </row>
    <row r="70" spans="1:19" s="15" customFormat="1" ht="25.5">
      <c r="A70" s="206">
        <v>20</v>
      </c>
      <c r="B70" s="207" t="s">
        <v>80</v>
      </c>
      <c r="C70" s="220"/>
      <c r="D70" s="209" t="s">
        <v>72</v>
      </c>
      <c r="E70" s="209" t="s">
        <v>72</v>
      </c>
      <c r="F70" s="209" t="s">
        <v>72</v>
      </c>
      <c r="G70" s="209" t="s">
        <v>72</v>
      </c>
      <c r="H70" s="209" t="s">
        <v>72</v>
      </c>
      <c r="I70" s="209" t="s">
        <v>72</v>
      </c>
      <c r="J70" s="209" t="s">
        <v>72</v>
      </c>
      <c r="K70" s="209" t="s">
        <v>72</v>
      </c>
      <c r="L70" s="209" t="s">
        <v>72</v>
      </c>
      <c r="M70" s="209" t="s">
        <v>72</v>
      </c>
      <c r="N70" s="209" t="s">
        <v>72</v>
      </c>
      <c r="O70" s="209" t="s">
        <v>72</v>
      </c>
      <c r="P70" s="209" t="s">
        <v>72</v>
      </c>
      <c r="Q70" s="13">
        <v>41304</v>
      </c>
      <c r="R70" s="13">
        <v>31958</v>
      </c>
      <c r="S70" s="58">
        <v>45294</v>
      </c>
    </row>
    <row r="71" spans="1:19" s="21" customFormat="1" ht="25.5">
      <c r="A71" s="210"/>
      <c r="B71" s="211" t="s">
        <v>177</v>
      </c>
      <c r="C71" s="262"/>
      <c r="D71" s="251" t="s">
        <v>72</v>
      </c>
      <c r="E71" s="251" t="s">
        <v>72</v>
      </c>
      <c r="F71" s="251" t="s">
        <v>72</v>
      </c>
      <c r="G71" s="251" t="s">
        <v>72</v>
      </c>
      <c r="H71" s="251" t="s">
        <v>72</v>
      </c>
      <c r="I71" s="251" t="s">
        <v>72</v>
      </c>
      <c r="J71" s="251" t="s">
        <v>72</v>
      </c>
      <c r="K71" s="251" t="s">
        <v>72</v>
      </c>
      <c r="L71" s="251" t="s">
        <v>72</v>
      </c>
      <c r="M71" s="251" t="s">
        <v>72</v>
      </c>
      <c r="N71" s="251" t="s">
        <v>72</v>
      </c>
      <c r="O71" s="251" t="s">
        <v>72</v>
      </c>
      <c r="P71" s="251" t="s">
        <v>72</v>
      </c>
      <c r="Q71" s="63">
        <v>28089450</v>
      </c>
      <c r="R71" s="19">
        <v>21721450</v>
      </c>
      <c r="S71" s="96">
        <v>31783050</v>
      </c>
    </row>
    <row r="72" spans="1:19" s="21" customFormat="1" ht="25.5">
      <c r="A72" s="223"/>
      <c r="B72" s="224" t="s">
        <v>82</v>
      </c>
      <c r="C72" s="234"/>
      <c r="D72" s="255" t="s">
        <v>72</v>
      </c>
      <c r="E72" s="255" t="s">
        <v>72</v>
      </c>
      <c r="F72" s="255" t="s">
        <v>72</v>
      </c>
      <c r="G72" s="255" t="s">
        <v>72</v>
      </c>
      <c r="H72" s="255" t="s">
        <v>72</v>
      </c>
      <c r="I72" s="255" t="s">
        <v>72</v>
      </c>
      <c r="J72" s="255" t="s">
        <v>72</v>
      </c>
      <c r="K72" s="255" t="s">
        <v>72</v>
      </c>
      <c r="L72" s="255" t="s">
        <v>72</v>
      </c>
      <c r="M72" s="255" t="s">
        <v>72</v>
      </c>
      <c r="N72" s="255" t="s">
        <v>72</v>
      </c>
      <c r="O72" s="255" t="s">
        <v>72</v>
      </c>
      <c r="P72" s="255" t="s">
        <v>72</v>
      </c>
      <c r="Q72" s="107">
        <f>SUM(Q71/Q34)</f>
        <v>3.2840421188694537</v>
      </c>
      <c r="R72" s="42">
        <v>2.5445429289154644</v>
      </c>
      <c r="S72" s="43">
        <v>3.6532543717603181</v>
      </c>
    </row>
    <row r="73" spans="1:19" s="21" customFormat="1" ht="17.25" customHeight="1">
      <c r="A73" s="217">
        <v>21</v>
      </c>
      <c r="B73" s="207" t="s">
        <v>83</v>
      </c>
      <c r="C73" s="220"/>
      <c r="D73" s="228" t="s">
        <v>72</v>
      </c>
      <c r="E73" s="228" t="s">
        <v>72</v>
      </c>
      <c r="F73" s="228" t="s">
        <v>72</v>
      </c>
      <c r="G73" s="228" t="s">
        <v>72</v>
      </c>
      <c r="H73" s="228" t="s">
        <v>72</v>
      </c>
      <c r="I73" s="228" t="s">
        <v>72</v>
      </c>
      <c r="J73" s="228" t="s">
        <v>72</v>
      </c>
      <c r="K73" s="228" t="s">
        <v>72</v>
      </c>
      <c r="L73" s="228" t="s">
        <v>72</v>
      </c>
      <c r="M73" s="228" t="s">
        <v>72</v>
      </c>
      <c r="N73" s="228" t="s">
        <v>72</v>
      </c>
      <c r="O73" s="228" t="s">
        <v>72</v>
      </c>
      <c r="P73" s="228" t="s">
        <v>72</v>
      </c>
      <c r="Q73" s="44">
        <f>SUM(C74:C80)</f>
        <v>533285</v>
      </c>
      <c r="R73" s="44">
        <v>554311</v>
      </c>
      <c r="S73" s="14">
        <v>531719</v>
      </c>
    </row>
    <row r="74" spans="1:19" ht="24" customHeight="1">
      <c r="A74" s="210"/>
      <c r="B74" s="211" t="s">
        <v>84</v>
      </c>
      <c r="C74" s="262">
        <v>119324</v>
      </c>
      <c r="D74" s="251" t="s">
        <v>72</v>
      </c>
      <c r="E74" s="251" t="s">
        <v>72</v>
      </c>
      <c r="F74" s="251" t="s">
        <v>72</v>
      </c>
      <c r="G74" s="251" t="s">
        <v>72</v>
      </c>
      <c r="H74" s="251" t="s">
        <v>72</v>
      </c>
      <c r="I74" s="251" t="s">
        <v>72</v>
      </c>
      <c r="J74" s="251" t="s">
        <v>72</v>
      </c>
      <c r="K74" s="251" t="s">
        <v>72</v>
      </c>
      <c r="L74" s="251" t="s">
        <v>72</v>
      </c>
      <c r="M74" s="251" t="s">
        <v>72</v>
      </c>
      <c r="N74" s="251" t="s">
        <v>72</v>
      </c>
      <c r="O74" s="251" t="s">
        <v>72</v>
      </c>
      <c r="P74" s="251" t="s">
        <v>72</v>
      </c>
      <c r="Q74" s="63" t="s">
        <v>72</v>
      </c>
      <c r="R74" s="97" t="s">
        <v>72</v>
      </c>
      <c r="S74" s="98" t="s">
        <v>72</v>
      </c>
    </row>
    <row r="75" spans="1:19" ht="24" customHeight="1">
      <c r="A75" s="210"/>
      <c r="B75" s="211" t="s">
        <v>85</v>
      </c>
      <c r="C75" s="262">
        <v>384150</v>
      </c>
      <c r="D75" s="251" t="s">
        <v>72</v>
      </c>
      <c r="E75" s="251" t="s">
        <v>72</v>
      </c>
      <c r="F75" s="251" t="s">
        <v>72</v>
      </c>
      <c r="G75" s="251" t="s">
        <v>72</v>
      </c>
      <c r="H75" s="251" t="s">
        <v>72</v>
      </c>
      <c r="I75" s="251" t="s">
        <v>72</v>
      </c>
      <c r="J75" s="251" t="s">
        <v>72</v>
      </c>
      <c r="K75" s="251" t="s">
        <v>72</v>
      </c>
      <c r="L75" s="251" t="s">
        <v>72</v>
      </c>
      <c r="M75" s="251" t="s">
        <v>72</v>
      </c>
      <c r="N75" s="251" t="s">
        <v>72</v>
      </c>
      <c r="O75" s="251" t="s">
        <v>72</v>
      </c>
      <c r="P75" s="251" t="s">
        <v>72</v>
      </c>
      <c r="Q75" s="63" t="s">
        <v>72</v>
      </c>
      <c r="R75" s="44" t="s">
        <v>72</v>
      </c>
      <c r="S75" s="20" t="s">
        <v>72</v>
      </c>
    </row>
    <row r="76" spans="1:19" ht="26.25" customHeight="1">
      <c r="A76" s="210"/>
      <c r="B76" s="211" t="s">
        <v>86</v>
      </c>
      <c r="C76" s="262">
        <v>8849</v>
      </c>
      <c r="D76" s="251" t="s">
        <v>72</v>
      </c>
      <c r="E76" s="251" t="s">
        <v>72</v>
      </c>
      <c r="F76" s="251" t="s">
        <v>72</v>
      </c>
      <c r="G76" s="251" t="s">
        <v>72</v>
      </c>
      <c r="H76" s="251" t="s">
        <v>72</v>
      </c>
      <c r="I76" s="251" t="s">
        <v>72</v>
      </c>
      <c r="J76" s="251" t="s">
        <v>72</v>
      </c>
      <c r="K76" s="251" t="s">
        <v>72</v>
      </c>
      <c r="L76" s="251" t="s">
        <v>72</v>
      </c>
      <c r="M76" s="251" t="s">
        <v>72</v>
      </c>
      <c r="N76" s="251" t="s">
        <v>72</v>
      </c>
      <c r="O76" s="251" t="s">
        <v>72</v>
      </c>
      <c r="P76" s="251" t="s">
        <v>72</v>
      </c>
      <c r="Q76" s="63" t="s">
        <v>72</v>
      </c>
      <c r="R76" s="63" t="s">
        <v>72</v>
      </c>
      <c r="S76" s="98" t="s">
        <v>72</v>
      </c>
    </row>
    <row r="77" spans="1:19" ht="24" customHeight="1">
      <c r="A77" s="210"/>
      <c r="B77" s="231" t="s">
        <v>87</v>
      </c>
      <c r="C77" s="262">
        <v>1402</v>
      </c>
      <c r="D77" s="251" t="s">
        <v>72</v>
      </c>
      <c r="E77" s="251" t="s">
        <v>72</v>
      </c>
      <c r="F77" s="251" t="s">
        <v>72</v>
      </c>
      <c r="G77" s="251" t="s">
        <v>72</v>
      </c>
      <c r="H77" s="251" t="s">
        <v>72</v>
      </c>
      <c r="I77" s="251" t="s">
        <v>72</v>
      </c>
      <c r="J77" s="251" t="s">
        <v>72</v>
      </c>
      <c r="K77" s="251" t="s">
        <v>72</v>
      </c>
      <c r="L77" s="251" t="s">
        <v>72</v>
      </c>
      <c r="M77" s="251" t="s">
        <v>72</v>
      </c>
      <c r="N77" s="251" t="s">
        <v>72</v>
      </c>
      <c r="O77" s="251" t="s">
        <v>72</v>
      </c>
      <c r="P77" s="251" t="s">
        <v>72</v>
      </c>
      <c r="Q77" s="63" t="s">
        <v>72</v>
      </c>
      <c r="R77" s="63" t="s">
        <v>72</v>
      </c>
      <c r="S77" s="20" t="s">
        <v>72</v>
      </c>
    </row>
    <row r="78" spans="1:19" ht="29.25" customHeight="1">
      <c r="A78" s="217"/>
      <c r="B78" s="207" t="s">
        <v>88</v>
      </c>
      <c r="C78" s="262">
        <v>14772</v>
      </c>
      <c r="D78" s="228" t="s">
        <v>72</v>
      </c>
      <c r="E78" s="228" t="s">
        <v>72</v>
      </c>
      <c r="F78" s="228" t="s">
        <v>72</v>
      </c>
      <c r="G78" s="228" t="s">
        <v>72</v>
      </c>
      <c r="H78" s="228" t="s">
        <v>72</v>
      </c>
      <c r="I78" s="228" t="s">
        <v>72</v>
      </c>
      <c r="J78" s="228" t="s">
        <v>72</v>
      </c>
      <c r="K78" s="228" t="s">
        <v>72</v>
      </c>
      <c r="L78" s="228" t="s">
        <v>72</v>
      </c>
      <c r="M78" s="228" t="s">
        <v>72</v>
      </c>
      <c r="N78" s="228" t="s">
        <v>72</v>
      </c>
      <c r="O78" s="228" t="s">
        <v>72</v>
      </c>
      <c r="P78" s="228" t="s">
        <v>72</v>
      </c>
      <c r="Q78" s="44" t="s">
        <v>72</v>
      </c>
      <c r="R78" s="63" t="s">
        <v>72</v>
      </c>
      <c r="S78" s="20" t="s">
        <v>72</v>
      </c>
    </row>
    <row r="79" spans="1:19" ht="24" customHeight="1">
      <c r="A79" s="217"/>
      <c r="B79" s="207" t="s">
        <v>89</v>
      </c>
      <c r="C79" s="262">
        <v>692</v>
      </c>
      <c r="D79" s="228" t="s">
        <v>72</v>
      </c>
      <c r="E79" s="228" t="s">
        <v>72</v>
      </c>
      <c r="F79" s="228" t="s">
        <v>72</v>
      </c>
      <c r="G79" s="228" t="s">
        <v>72</v>
      </c>
      <c r="H79" s="228" t="s">
        <v>72</v>
      </c>
      <c r="I79" s="228" t="s">
        <v>72</v>
      </c>
      <c r="J79" s="228" t="s">
        <v>72</v>
      </c>
      <c r="K79" s="228" t="s">
        <v>72</v>
      </c>
      <c r="L79" s="228" t="s">
        <v>72</v>
      </c>
      <c r="M79" s="228" t="s">
        <v>72</v>
      </c>
      <c r="N79" s="228" t="s">
        <v>72</v>
      </c>
      <c r="O79" s="228" t="s">
        <v>72</v>
      </c>
      <c r="P79" s="228" t="s">
        <v>72</v>
      </c>
      <c r="Q79" s="44" t="s">
        <v>72</v>
      </c>
      <c r="R79" s="63" t="s">
        <v>72</v>
      </c>
      <c r="S79" s="20" t="s">
        <v>72</v>
      </c>
    </row>
    <row r="80" spans="1:19" ht="24" customHeight="1">
      <c r="A80" s="217"/>
      <c r="B80" s="207" t="s">
        <v>90</v>
      </c>
      <c r="C80" s="262">
        <v>4096</v>
      </c>
      <c r="D80" s="228" t="s">
        <v>72</v>
      </c>
      <c r="E80" s="228" t="s">
        <v>72</v>
      </c>
      <c r="F80" s="228" t="s">
        <v>72</v>
      </c>
      <c r="G80" s="228" t="s">
        <v>72</v>
      </c>
      <c r="H80" s="228" t="s">
        <v>72</v>
      </c>
      <c r="I80" s="228" t="s">
        <v>72</v>
      </c>
      <c r="J80" s="228" t="s">
        <v>72</v>
      </c>
      <c r="K80" s="228" t="s">
        <v>72</v>
      </c>
      <c r="L80" s="228" t="s">
        <v>72</v>
      </c>
      <c r="M80" s="228" t="s">
        <v>72</v>
      </c>
      <c r="N80" s="228" t="s">
        <v>72</v>
      </c>
      <c r="O80" s="228" t="s">
        <v>72</v>
      </c>
      <c r="P80" s="228" t="s">
        <v>72</v>
      </c>
      <c r="Q80" s="44" t="s">
        <v>72</v>
      </c>
      <c r="R80" s="63" t="s">
        <v>72</v>
      </c>
      <c r="S80" s="20"/>
    </row>
    <row r="81" spans="1:19" s="21" customFormat="1" ht="29.25" customHeight="1">
      <c r="A81" s="210"/>
      <c r="B81" s="211" t="s">
        <v>91</v>
      </c>
      <c r="C81" s="274"/>
      <c r="D81" s="251" t="s">
        <v>72</v>
      </c>
      <c r="E81" s="251" t="s">
        <v>72</v>
      </c>
      <c r="F81" s="251" t="s">
        <v>72</v>
      </c>
      <c r="G81" s="251" t="s">
        <v>72</v>
      </c>
      <c r="H81" s="251" t="s">
        <v>72</v>
      </c>
      <c r="I81" s="251" t="s">
        <v>72</v>
      </c>
      <c r="J81" s="251" t="s">
        <v>72</v>
      </c>
      <c r="K81" s="251" t="s">
        <v>72</v>
      </c>
      <c r="L81" s="251" t="s">
        <v>72</v>
      </c>
      <c r="M81" s="251" t="s">
        <v>72</v>
      </c>
      <c r="N81" s="251" t="s">
        <v>72</v>
      </c>
      <c r="O81" s="251" t="s">
        <v>72</v>
      </c>
      <c r="P81" s="251" t="s">
        <v>72</v>
      </c>
      <c r="Q81" s="45">
        <v>60910330</v>
      </c>
      <c r="R81" s="63">
        <v>64361150</v>
      </c>
      <c r="S81" s="20">
        <v>61744550</v>
      </c>
    </row>
    <row r="82" spans="1:19" s="21" customFormat="1" ht="30.75" customHeight="1" thickBot="1">
      <c r="A82" s="264"/>
      <c r="B82" s="265" t="s">
        <v>92</v>
      </c>
      <c r="C82" s="275"/>
      <c r="D82" s="276" t="s">
        <v>72</v>
      </c>
      <c r="E82" s="276" t="s">
        <v>72</v>
      </c>
      <c r="F82" s="276" t="s">
        <v>72</v>
      </c>
      <c r="G82" s="276" t="s">
        <v>72</v>
      </c>
      <c r="H82" s="276" t="s">
        <v>72</v>
      </c>
      <c r="I82" s="276" t="s">
        <v>72</v>
      </c>
      <c r="J82" s="276" t="s">
        <v>72</v>
      </c>
      <c r="K82" s="276" t="s">
        <v>72</v>
      </c>
      <c r="L82" s="276" t="s">
        <v>72</v>
      </c>
      <c r="M82" s="276" t="s">
        <v>72</v>
      </c>
      <c r="N82" s="276" t="s">
        <v>72</v>
      </c>
      <c r="O82" s="276" t="s">
        <v>72</v>
      </c>
      <c r="P82" s="276" t="s">
        <v>72</v>
      </c>
      <c r="Q82" s="73">
        <f>SUM(Q81/Q34)</f>
        <v>7.1212533244416552</v>
      </c>
      <c r="R82" s="73">
        <v>7.5395385266346189</v>
      </c>
      <c r="S82" s="74">
        <v>7.1</v>
      </c>
    </row>
    <row r="83" spans="1:19" s="21" customFormat="1" ht="15" thickTop="1">
      <c r="A83" s="217" t="s">
        <v>93</v>
      </c>
      <c r="B83" s="207" t="s">
        <v>94</v>
      </c>
      <c r="C83" s="277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127"/>
      <c r="R83" s="45"/>
      <c r="S83" s="46"/>
    </row>
    <row r="84" spans="1:19" s="21" customFormat="1">
      <c r="A84" s="210"/>
      <c r="B84" s="211" t="s">
        <v>95</v>
      </c>
      <c r="C84" s="278"/>
      <c r="D84" s="251" t="s">
        <v>72</v>
      </c>
      <c r="E84" s="251" t="s">
        <v>72</v>
      </c>
      <c r="F84" s="251" t="s">
        <v>72</v>
      </c>
      <c r="G84" s="251" t="s">
        <v>72</v>
      </c>
      <c r="H84" s="251" t="s">
        <v>72</v>
      </c>
      <c r="I84" s="251" t="s">
        <v>72</v>
      </c>
      <c r="J84" s="251" t="s">
        <v>72</v>
      </c>
      <c r="K84" s="251" t="s">
        <v>72</v>
      </c>
      <c r="L84" s="251" t="s">
        <v>72</v>
      </c>
      <c r="M84" s="251" t="s">
        <v>72</v>
      </c>
      <c r="N84" s="251" t="s">
        <v>72</v>
      </c>
      <c r="O84" s="251" t="s">
        <v>72</v>
      </c>
      <c r="P84" s="251" t="s">
        <v>72</v>
      </c>
      <c r="Q84" s="63">
        <v>0</v>
      </c>
      <c r="R84" s="37">
        <v>0</v>
      </c>
      <c r="S84" s="38">
        <v>3</v>
      </c>
    </row>
    <row r="85" spans="1:19" s="21" customFormat="1">
      <c r="A85" s="210"/>
      <c r="B85" s="211" t="s">
        <v>96</v>
      </c>
      <c r="C85" s="278"/>
      <c r="D85" s="251" t="s">
        <v>72</v>
      </c>
      <c r="E85" s="251" t="s">
        <v>72</v>
      </c>
      <c r="F85" s="251" t="s">
        <v>72</v>
      </c>
      <c r="G85" s="251" t="s">
        <v>72</v>
      </c>
      <c r="H85" s="251" t="s">
        <v>72</v>
      </c>
      <c r="I85" s="251" t="s">
        <v>72</v>
      </c>
      <c r="J85" s="251" t="s">
        <v>72</v>
      </c>
      <c r="K85" s="251" t="s">
        <v>72</v>
      </c>
      <c r="L85" s="251" t="s">
        <v>72</v>
      </c>
      <c r="M85" s="251" t="s">
        <v>72</v>
      </c>
      <c r="N85" s="251" t="s">
        <v>72</v>
      </c>
      <c r="O85" s="251" t="s">
        <v>72</v>
      </c>
      <c r="P85" s="251" t="s">
        <v>72</v>
      </c>
      <c r="Q85" s="63">
        <v>2</v>
      </c>
      <c r="R85" s="127">
        <v>2</v>
      </c>
      <c r="S85" s="181">
        <v>3</v>
      </c>
    </row>
    <row r="86" spans="1:19" s="21" customFormat="1">
      <c r="A86" s="210"/>
      <c r="B86" s="211" t="s">
        <v>97</v>
      </c>
      <c r="C86" s="278"/>
      <c r="D86" s="251" t="s">
        <v>72</v>
      </c>
      <c r="E86" s="251" t="s">
        <v>72</v>
      </c>
      <c r="F86" s="251" t="s">
        <v>72</v>
      </c>
      <c r="G86" s="251" t="s">
        <v>72</v>
      </c>
      <c r="H86" s="251" t="s">
        <v>72</v>
      </c>
      <c r="I86" s="251" t="s">
        <v>72</v>
      </c>
      <c r="J86" s="251" t="s">
        <v>72</v>
      </c>
      <c r="K86" s="251" t="s">
        <v>72</v>
      </c>
      <c r="L86" s="251" t="s">
        <v>72</v>
      </c>
      <c r="M86" s="251" t="s">
        <v>72</v>
      </c>
      <c r="N86" s="251" t="s">
        <v>72</v>
      </c>
      <c r="O86" s="251" t="s">
        <v>72</v>
      </c>
      <c r="P86" s="251" t="s">
        <v>72</v>
      </c>
      <c r="Q86" s="63">
        <v>0</v>
      </c>
      <c r="R86" s="63">
        <v>1</v>
      </c>
      <c r="S86" s="20">
        <v>1</v>
      </c>
    </row>
    <row r="87" spans="1:19" s="21" customFormat="1">
      <c r="A87" s="210"/>
      <c r="B87" s="211" t="s">
        <v>98</v>
      </c>
      <c r="C87" s="278"/>
      <c r="D87" s="251" t="s">
        <v>72</v>
      </c>
      <c r="E87" s="251" t="s">
        <v>72</v>
      </c>
      <c r="F87" s="251" t="s">
        <v>72</v>
      </c>
      <c r="G87" s="251" t="s">
        <v>72</v>
      </c>
      <c r="H87" s="251" t="s">
        <v>72</v>
      </c>
      <c r="I87" s="251" t="s">
        <v>72</v>
      </c>
      <c r="J87" s="251" t="s">
        <v>72</v>
      </c>
      <c r="K87" s="251" t="s">
        <v>72</v>
      </c>
      <c r="L87" s="251" t="s">
        <v>72</v>
      </c>
      <c r="M87" s="251" t="s">
        <v>72</v>
      </c>
      <c r="N87" s="251" t="s">
        <v>72</v>
      </c>
      <c r="O87" s="251" t="s">
        <v>72</v>
      </c>
      <c r="P87" s="251" t="s">
        <v>72</v>
      </c>
      <c r="Q87" s="63">
        <v>5</v>
      </c>
      <c r="R87" s="63">
        <v>1</v>
      </c>
      <c r="S87" s="20">
        <v>5</v>
      </c>
    </row>
    <row r="88" spans="1:19" s="21" customFormat="1">
      <c r="A88" s="210"/>
      <c r="B88" s="211" t="s">
        <v>99</v>
      </c>
      <c r="C88" s="278"/>
      <c r="D88" s="251" t="s">
        <v>72</v>
      </c>
      <c r="E88" s="251" t="s">
        <v>72</v>
      </c>
      <c r="F88" s="251" t="s">
        <v>72</v>
      </c>
      <c r="G88" s="251" t="s">
        <v>72</v>
      </c>
      <c r="H88" s="251" t="s">
        <v>72</v>
      </c>
      <c r="I88" s="251" t="s">
        <v>72</v>
      </c>
      <c r="J88" s="251" t="s">
        <v>72</v>
      </c>
      <c r="K88" s="251" t="s">
        <v>72</v>
      </c>
      <c r="L88" s="251" t="s">
        <v>72</v>
      </c>
      <c r="M88" s="251" t="s">
        <v>72</v>
      </c>
      <c r="N88" s="251" t="s">
        <v>72</v>
      </c>
      <c r="O88" s="251" t="s">
        <v>72</v>
      </c>
      <c r="P88" s="251" t="s">
        <v>72</v>
      </c>
      <c r="Q88" s="63">
        <f>SUM(Q84:Q87)</f>
        <v>7</v>
      </c>
      <c r="R88" s="63">
        <v>4</v>
      </c>
      <c r="S88" s="20">
        <v>12</v>
      </c>
    </row>
    <row r="89" spans="1:19" s="21" customFormat="1" ht="25.5">
      <c r="A89" s="223"/>
      <c r="B89" s="224" t="s">
        <v>100</v>
      </c>
      <c r="C89" s="279"/>
      <c r="D89" s="255" t="s">
        <v>72</v>
      </c>
      <c r="E89" s="255" t="s">
        <v>72</v>
      </c>
      <c r="F89" s="255" t="s">
        <v>72</v>
      </c>
      <c r="G89" s="255" t="s">
        <v>72</v>
      </c>
      <c r="H89" s="255" t="s">
        <v>72</v>
      </c>
      <c r="I89" s="255" t="s">
        <v>72</v>
      </c>
      <c r="J89" s="255" t="s">
        <v>72</v>
      </c>
      <c r="K89" s="255" t="s">
        <v>72</v>
      </c>
      <c r="L89" s="255" t="s">
        <v>72</v>
      </c>
      <c r="M89" s="255" t="s">
        <v>72</v>
      </c>
      <c r="N89" s="255" t="s">
        <v>72</v>
      </c>
      <c r="O89" s="255" t="s">
        <v>72</v>
      </c>
      <c r="P89" s="255" t="s">
        <v>72</v>
      </c>
      <c r="Q89" s="107">
        <f>Q88/Q48*100000</f>
        <v>0.11477153987171493</v>
      </c>
      <c r="R89" s="107">
        <v>6.6489836945310604E-2</v>
      </c>
      <c r="S89" s="108">
        <v>0.19659954867296942</v>
      </c>
    </row>
    <row r="90" spans="1:19" s="21" customFormat="1">
      <c r="A90" s="280" t="s">
        <v>19</v>
      </c>
      <c r="B90" s="207" t="s">
        <v>101</v>
      </c>
      <c r="C90" s="281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121"/>
      <c r="R90" s="44"/>
      <c r="S90" s="14"/>
    </row>
    <row r="91" spans="1:19" s="21" customFormat="1">
      <c r="A91" s="280"/>
      <c r="B91" s="211" t="s">
        <v>95</v>
      </c>
      <c r="C91" s="278"/>
      <c r="D91" s="251" t="s">
        <v>72</v>
      </c>
      <c r="E91" s="251" t="s">
        <v>72</v>
      </c>
      <c r="F91" s="251" t="s">
        <v>72</v>
      </c>
      <c r="G91" s="251" t="s">
        <v>72</v>
      </c>
      <c r="H91" s="251" t="s">
        <v>72</v>
      </c>
      <c r="I91" s="251" t="s">
        <v>72</v>
      </c>
      <c r="J91" s="251" t="s">
        <v>72</v>
      </c>
      <c r="K91" s="251" t="s">
        <v>72</v>
      </c>
      <c r="L91" s="251" t="s">
        <v>72</v>
      </c>
      <c r="M91" s="251" t="s">
        <v>72</v>
      </c>
      <c r="N91" s="251" t="s">
        <v>72</v>
      </c>
      <c r="O91" s="251" t="s">
        <v>72</v>
      </c>
      <c r="P91" s="251" t="s">
        <v>72</v>
      </c>
      <c r="Q91" s="63">
        <v>0</v>
      </c>
      <c r="R91" s="37">
        <v>0</v>
      </c>
      <c r="S91" s="38">
        <v>1</v>
      </c>
    </row>
    <row r="92" spans="1:19" s="21" customFormat="1">
      <c r="A92" s="280"/>
      <c r="B92" s="211" t="s">
        <v>96</v>
      </c>
      <c r="C92" s="278"/>
      <c r="D92" s="251" t="s">
        <v>72</v>
      </c>
      <c r="E92" s="251" t="s">
        <v>72</v>
      </c>
      <c r="F92" s="251" t="s">
        <v>72</v>
      </c>
      <c r="G92" s="251" t="s">
        <v>72</v>
      </c>
      <c r="H92" s="251" t="s">
        <v>72</v>
      </c>
      <c r="I92" s="251" t="s">
        <v>72</v>
      </c>
      <c r="J92" s="251" t="s">
        <v>72</v>
      </c>
      <c r="K92" s="251" t="s">
        <v>72</v>
      </c>
      <c r="L92" s="251" t="s">
        <v>72</v>
      </c>
      <c r="M92" s="251" t="s">
        <v>72</v>
      </c>
      <c r="N92" s="251" t="s">
        <v>72</v>
      </c>
      <c r="O92" s="251" t="s">
        <v>72</v>
      </c>
      <c r="P92" s="251" t="s">
        <v>72</v>
      </c>
      <c r="Q92" s="63">
        <v>1</v>
      </c>
      <c r="R92" s="169">
        <v>3</v>
      </c>
      <c r="S92" s="38">
        <v>1</v>
      </c>
    </row>
    <row r="93" spans="1:19" s="21" customFormat="1">
      <c r="A93" s="280"/>
      <c r="B93" s="211" t="s">
        <v>97</v>
      </c>
      <c r="C93" s="278"/>
      <c r="D93" s="251" t="s">
        <v>72</v>
      </c>
      <c r="E93" s="251" t="s">
        <v>72</v>
      </c>
      <c r="F93" s="251" t="s">
        <v>72</v>
      </c>
      <c r="G93" s="251" t="s">
        <v>72</v>
      </c>
      <c r="H93" s="251" t="s">
        <v>72</v>
      </c>
      <c r="I93" s="251" t="s">
        <v>72</v>
      </c>
      <c r="J93" s="251" t="s">
        <v>72</v>
      </c>
      <c r="K93" s="251" t="s">
        <v>72</v>
      </c>
      <c r="L93" s="251" t="s">
        <v>72</v>
      </c>
      <c r="M93" s="251" t="s">
        <v>72</v>
      </c>
      <c r="N93" s="251" t="s">
        <v>72</v>
      </c>
      <c r="O93" s="251" t="s">
        <v>72</v>
      </c>
      <c r="P93" s="251" t="s">
        <v>72</v>
      </c>
      <c r="Q93" s="63">
        <v>1</v>
      </c>
      <c r="R93" s="63">
        <v>0</v>
      </c>
      <c r="S93" s="20">
        <v>0</v>
      </c>
    </row>
    <row r="94" spans="1:19" s="21" customFormat="1">
      <c r="A94" s="280"/>
      <c r="B94" s="211" t="s">
        <v>98</v>
      </c>
      <c r="C94" s="278"/>
      <c r="D94" s="251" t="s">
        <v>72</v>
      </c>
      <c r="E94" s="251" t="s">
        <v>72</v>
      </c>
      <c r="F94" s="251" t="s">
        <v>72</v>
      </c>
      <c r="G94" s="251" t="s">
        <v>72</v>
      </c>
      <c r="H94" s="251" t="s">
        <v>72</v>
      </c>
      <c r="I94" s="251" t="s">
        <v>72</v>
      </c>
      <c r="J94" s="251" t="s">
        <v>72</v>
      </c>
      <c r="K94" s="251" t="s">
        <v>72</v>
      </c>
      <c r="L94" s="251" t="s">
        <v>72</v>
      </c>
      <c r="M94" s="251" t="s">
        <v>72</v>
      </c>
      <c r="N94" s="251" t="s">
        <v>72</v>
      </c>
      <c r="O94" s="251" t="s">
        <v>72</v>
      </c>
      <c r="P94" s="251" t="s">
        <v>72</v>
      </c>
      <c r="Q94" s="63">
        <v>1</v>
      </c>
      <c r="R94" s="63">
        <v>1</v>
      </c>
      <c r="S94" s="20">
        <v>1</v>
      </c>
    </row>
    <row r="95" spans="1:19" s="21" customFormat="1">
      <c r="A95" s="280"/>
      <c r="B95" s="253" t="s">
        <v>99</v>
      </c>
      <c r="C95" s="283"/>
      <c r="D95" s="284" t="s">
        <v>72</v>
      </c>
      <c r="E95" s="284" t="s">
        <v>72</v>
      </c>
      <c r="F95" s="284" t="s">
        <v>72</v>
      </c>
      <c r="G95" s="284" t="s">
        <v>72</v>
      </c>
      <c r="H95" s="284" t="s">
        <v>72</v>
      </c>
      <c r="I95" s="284" t="s">
        <v>72</v>
      </c>
      <c r="J95" s="284" t="s">
        <v>72</v>
      </c>
      <c r="K95" s="284" t="s">
        <v>72</v>
      </c>
      <c r="L95" s="284" t="s">
        <v>72</v>
      </c>
      <c r="M95" s="284" t="s">
        <v>72</v>
      </c>
      <c r="N95" s="284" t="s">
        <v>72</v>
      </c>
      <c r="O95" s="284" t="s">
        <v>72</v>
      </c>
      <c r="P95" s="284" t="s">
        <v>72</v>
      </c>
      <c r="Q95" s="111">
        <f>SUM(Q91:Q94)</f>
        <v>3</v>
      </c>
      <c r="R95" s="63">
        <v>4</v>
      </c>
      <c r="S95" s="20">
        <v>3</v>
      </c>
    </row>
    <row r="96" spans="1:19" s="21" customFormat="1" ht="26.25" thickBot="1">
      <c r="A96" s="264"/>
      <c r="B96" s="265" t="s">
        <v>100</v>
      </c>
      <c r="C96" s="285"/>
      <c r="D96" s="276" t="s">
        <v>72</v>
      </c>
      <c r="E96" s="276" t="s">
        <v>72</v>
      </c>
      <c r="F96" s="276" t="s">
        <v>72</v>
      </c>
      <c r="G96" s="276" t="s">
        <v>72</v>
      </c>
      <c r="H96" s="276" t="s">
        <v>72</v>
      </c>
      <c r="I96" s="276" t="s">
        <v>72</v>
      </c>
      <c r="J96" s="276" t="s">
        <v>72</v>
      </c>
      <c r="K96" s="276" t="s">
        <v>72</v>
      </c>
      <c r="L96" s="276" t="s">
        <v>72</v>
      </c>
      <c r="M96" s="276" t="s">
        <v>72</v>
      </c>
      <c r="N96" s="276" t="s">
        <v>72</v>
      </c>
      <c r="O96" s="276" t="s">
        <v>72</v>
      </c>
      <c r="P96" s="276" t="s">
        <v>72</v>
      </c>
      <c r="Q96" s="73">
        <f>Q95/Q33*100000</f>
        <v>0.11181746618639823</v>
      </c>
      <c r="R96" s="73">
        <v>0.14597826237694944</v>
      </c>
      <c r="S96" s="74">
        <v>0.10626077882775234</v>
      </c>
    </row>
    <row r="97" spans="1:19" s="21" customFormat="1" ht="15" thickTop="1">
      <c r="A97" s="217"/>
      <c r="B97" s="286" t="s">
        <v>102</v>
      </c>
      <c r="C97" s="287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127"/>
      <c r="R97" s="120"/>
      <c r="S97" s="14"/>
    </row>
    <row r="98" spans="1:19" s="21" customFormat="1">
      <c r="A98" s="210">
        <v>23</v>
      </c>
      <c r="B98" s="211" t="s">
        <v>103</v>
      </c>
      <c r="C98" s="288"/>
      <c r="D98" s="209">
        <v>149</v>
      </c>
      <c r="E98" s="209">
        <v>84</v>
      </c>
      <c r="F98" s="209">
        <v>119</v>
      </c>
      <c r="G98" s="209">
        <v>59</v>
      </c>
      <c r="H98" s="209">
        <v>74</v>
      </c>
      <c r="I98" s="209">
        <v>55</v>
      </c>
      <c r="J98" s="209">
        <v>45</v>
      </c>
      <c r="K98" s="209">
        <v>46</v>
      </c>
      <c r="L98" s="209">
        <v>47</v>
      </c>
      <c r="M98" s="209">
        <v>115</v>
      </c>
      <c r="N98" s="209">
        <v>29</v>
      </c>
      <c r="O98" s="209">
        <v>64</v>
      </c>
      <c r="P98" s="209">
        <v>24</v>
      </c>
      <c r="Q98" s="19">
        <f>SUM(C98:P98)</f>
        <v>910</v>
      </c>
      <c r="R98" s="76">
        <v>1065</v>
      </c>
      <c r="S98" s="98">
        <v>858</v>
      </c>
    </row>
    <row r="99" spans="1:19" s="15" customFormat="1" ht="25.5">
      <c r="A99" s="232">
        <v>24</v>
      </c>
      <c r="B99" s="224" t="s">
        <v>104</v>
      </c>
      <c r="C99" s="289"/>
      <c r="D99" s="226">
        <f t="shared" ref="D99:Q99" si="33">SUM(D98/D48*10000)</f>
        <v>2.4739652515806814</v>
      </c>
      <c r="E99" s="226">
        <f t="shared" si="33"/>
        <v>1.202086478673698</v>
      </c>
      <c r="F99" s="226">
        <f t="shared" si="33"/>
        <v>1.9771087359961721</v>
      </c>
      <c r="G99" s="226">
        <f t="shared" si="33"/>
        <v>1.1450552052462935</v>
      </c>
      <c r="H99" s="226">
        <f t="shared" si="33"/>
        <v>1.1279370184356732</v>
      </c>
      <c r="I99" s="226">
        <f t="shared" si="33"/>
        <v>1.5534134141484894</v>
      </c>
      <c r="J99" s="226">
        <f t="shared" si="33"/>
        <v>0.95413980056357861</v>
      </c>
      <c r="K99" s="226">
        <f t="shared" si="33"/>
        <v>0.98239589273091099</v>
      </c>
      <c r="L99" s="226">
        <f t="shared" si="33"/>
        <v>1.2402757106515931</v>
      </c>
      <c r="M99" s="226">
        <f t="shared" si="33"/>
        <v>1.8709043463548276</v>
      </c>
      <c r="N99" s="226">
        <f t="shared" si="33"/>
        <v>1.6034147204529372</v>
      </c>
      <c r="O99" s="226">
        <f t="shared" si="33"/>
        <v>2.1646485828316306</v>
      </c>
      <c r="P99" s="226">
        <f t="shared" si="33"/>
        <v>0.92051364661481105</v>
      </c>
      <c r="Q99" s="42">
        <f t="shared" si="33"/>
        <v>1.4920300183322941</v>
      </c>
      <c r="R99" s="168">
        <v>1.7702919086688951</v>
      </c>
      <c r="S99" s="319">
        <v>1.4056867730117315</v>
      </c>
    </row>
    <row r="100" spans="1:19" s="130" customFormat="1" ht="25.5">
      <c r="A100" s="206">
        <v>25</v>
      </c>
      <c r="B100" s="207" t="s">
        <v>105</v>
      </c>
      <c r="C100" s="287"/>
      <c r="D100" s="209">
        <v>156475</v>
      </c>
      <c r="E100" s="209">
        <v>21862</v>
      </c>
      <c r="F100" s="209">
        <v>143132</v>
      </c>
      <c r="G100" s="209">
        <f>157164+7320</f>
        <v>164484</v>
      </c>
      <c r="H100" s="209">
        <v>176180</v>
      </c>
      <c r="I100" s="209">
        <v>119570</v>
      </c>
      <c r="J100" s="209">
        <v>163357</v>
      </c>
      <c r="K100" s="209">
        <v>96709</v>
      </c>
      <c r="L100" s="209">
        <v>89857</v>
      </c>
      <c r="M100" s="209">
        <v>30269</v>
      </c>
      <c r="N100" s="209">
        <v>12539</v>
      </c>
      <c r="O100" s="209">
        <v>11287</v>
      </c>
      <c r="P100" s="209">
        <v>23656</v>
      </c>
      <c r="Q100" s="44">
        <f>SUM(C100:P100)</f>
        <v>1209377</v>
      </c>
      <c r="R100" s="13">
        <v>1263069</v>
      </c>
      <c r="S100" s="58">
        <v>1242174</v>
      </c>
    </row>
    <row r="101" spans="1:19" s="33" customFormat="1" ht="25.5">
      <c r="A101" s="244"/>
      <c r="B101" s="211" t="s">
        <v>106</v>
      </c>
      <c r="C101" s="290"/>
      <c r="D101" s="222">
        <f>D100/C5</f>
        <v>5047.5806451612907</v>
      </c>
      <c r="E101" s="222">
        <f>E100/C5</f>
        <v>705.22580645161293</v>
      </c>
      <c r="F101" s="222">
        <f>F100/C5</f>
        <v>4617.1612903225805</v>
      </c>
      <c r="G101" s="222">
        <f>G100/C5</f>
        <v>5305.9354838709678</v>
      </c>
      <c r="H101" s="222">
        <f>H100/C5</f>
        <v>5683.2258064516127</v>
      </c>
      <c r="I101" s="222">
        <f>I100/C5</f>
        <v>3857.0967741935483</v>
      </c>
      <c r="J101" s="222">
        <f>J100/C5</f>
        <v>5269.5806451612907</v>
      </c>
      <c r="K101" s="222">
        <f>K100/C5</f>
        <v>3119.6451612903224</v>
      </c>
      <c r="L101" s="222">
        <f>L100/C5</f>
        <v>2898.6129032258063</v>
      </c>
      <c r="M101" s="222">
        <f>M100/C5</f>
        <v>976.41935483870964</v>
      </c>
      <c r="N101" s="222">
        <f>N100/C5</f>
        <v>404.48387096774195</v>
      </c>
      <c r="O101" s="222">
        <f>O100/C5</f>
        <v>364.09677419354841</v>
      </c>
      <c r="P101" s="222">
        <f>P100/C5</f>
        <v>763.09677419354841</v>
      </c>
      <c r="Q101" s="37">
        <f>Q100/C5</f>
        <v>39012.161290322583</v>
      </c>
      <c r="R101" s="128">
        <v>40744.161290322583</v>
      </c>
      <c r="S101" s="91">
        <v>40070.129032258068</v>
      </c>
    </row>
    <row r="102" spans="1:19" ht="25.5">
      <c r="A102" s="210"/>
      <c r="B102" s="211" t="s">
        <v>107</v>
      </c>
      <c r="C102" s="278"/>
      <c r="D102" s="209">
        <v>58.02</v>
      </c>
      <c r="E102" s="209">
        <v>54.25</v>
      </c>
      <c r="F102" s="209">
        <v>61.56</v>
      </c>
      <c r="G102" s="209">
        <v>61.7</v>
      </c>
      <c r="H102" s="209">
        <v>71.94</v>
      </c>
      <c r="I102" s="209">
        <v>70.13</v>
      </c>
      <c r="J102" s="209">
        <v>66.7</v>
      </c>
      <c r="K102" s="209">
        <v>61.17</v>
      </c>
      <c r="L102" s="209">
        <v>74.319999999999993</v>
      </c>
      <c r="M102" s="209">
        <v>57.44</v>
      </c>
      <c r="N102" s="209">
        <v>44.94</v>
      </c>
      <c r="O102" s="209">
        <v>60.68</v>
      </c>
      <c r="P102" s="209">
        <v>54.51</v>
      </c>
      <c r="Q102" s="97">
        <v>63.95</v>
      </c>
      <c r="R102" s="44">
        <v>64.37</v>
      </c>
      <c r="S102" s="20">
        <v>64.11</v>
      </c>
    </row>
    <row r="103" spans="1:19" ht="25.5">
      <c r="A103" s="210"/>
      <c r="B103" s="211" t="s">
        <v>108</v>
      </c>
      <c r="C103" s="278"/>
      <c r="D103" s="209">
        <v>34691</v>
      </c>
      <c r="E103" s="209">
        <v>215297</v>
      </c>
      <c r="F103" s="209">
        <v>69184</v>
      </c>
      <c r="G103" s="209">
        <v>11578</v>
      </c>
      <c r="H103" s="209">
        <v>35984</v>
      </c>
      <c r="I103" s="209">
        <v>0</v>
      </c>
      <c r="J103" s="209">
        <v>4400</v>
      </c>
      <c r="K103" s="209">
        <v>36830</v>
      </c>
      <c r="L103" s="209">
        <v>12521</v>
      </c>
      <c r="M103" s="209">
        <v>160315</v>
      </c>
      <c r="N103" s="209">
        <v>56352</v>
      </c>
      <c r="O103" s="209">
        <v>91321</v>
      </c>
      <c r="P103" s="209">
        <v>60345</v>
      </c>
      <c r="Q103" s="37">
        <f>SUM(C103:P103)</f>
        <v>788818</v>
      </c>
      <c r="R103" s="37">
        <v>709370</v>
      </c>
      <c r="S103" s="38">
        <v>755977</v>
      </c>
    </row>
    <row r="104" spans="1:19" ht="25.5">
      <c r="A104" s="210"/>
      <c r="B104" s="211" t="s">
        <v>109</v>
      </c>
      <c r="C104" s="278"/>
      <c r="D104" s="222">
        <f>D103/C5</f>
        <v>1119.0645161290322</v>
      </c>
      <c r="E104" s="222">
        <f>E103/C5</f>
        <v>6945.0645161290322</v>
      </c>
      <c r="F104" s="222">
        <f>F103/C5</f>
        <v>2231.7419354838707</v>
      </c>
      <c r="G104" s="222">
        <f>G103/C5</f>
        <v>373.48387096774195</v>
      </c>
      <c r="H104" s="222">
        <f>H103/C5</f>
        <v>1160.7741935483871</v>
      </c>
      <c r="I104" s="222">
        <f>I103/C5</f>
        <v>0</v>
      </c>
      <c r="J104" s="222">
        <f>J103/C5</f>
        <v>141.93548387096774</v>
      </c>
      <c r="K104" s="222">
        <f>K103/C5</f>
        <v>1188.0645161290322</v>
      </c>
      <c r="L104" s="222">
        <f>L103/C5</f>
        <v>403.90322580645159</v>
      </c>
      <c r="M104" s="222">
        <f>M103/C5</f>
        <v>5171.4516129032254</v>
      </c>
      <c r="N104" s="222">
        <f>N103/C5</f>
        <v>1817.8064516129032</v>
      </c>
      <c r="O104" s="222">
        <f>O103/C5</f>
        <v>2945.8387096774195</v>
      </c>
      <c r="P104" s="222">
        <f>P103/C5</f>
        <v>1946.6129032258063</v>
      </c>
      <c r="Q104" s="37">
        <f>Q103/31</f>
        <v>25445.741935483871</v>
      </c>
      <c r="R104" s="37">
        <v>22882.903225806451</v>
      </c>
      <c r="S104" s="38">
        <v>24386.354838709678</v>
      </c>
    </row>
    <row r="105" spans="1:19" s="15" customFormat="1" ht="25.5">
      <c r="A105" s="291"/>
      <c r="B105" s="207" t="s">
        <v>110</v>
      </c>
      <c r="C105" s="292"/>
      <c r="D105" s="209">
        <v>75.12</v>
      </c>
      <c r="E105" s="209">
        <v>69.84</v>
      </c>
      <c r="F105" s="209">
        <v>68.599999999999994</v>
      </c>
      <c r="G105" s="209">
        <v>57.48</v>
      </c>
      <c r="H105" s="209">
        <v>80.569999999999993</v>
      </c>
      <c r="I105" s="209">
        <v>0</v>
      </c>
      <c r="J105" s="209">
        <v>70.44</v>
      </c>
      <c r="K105" s="209">
        <v>82.23</v>
      </c>
      <c r="L105" s="209">
        <v>78.06</v>
      </c>
      <c r="M105" s="209">
        <v>76.930000000000007</v>
      </c>
      <c r="N105" s="209">
        <v>69.400000000000006</v>
      </c>
      <c r="O105" s="209">
        <v>77.83</v>
      </c>
      <c r="P105" s="209">
        <v>75.5</v>
      </c>
      <c r="Q105" s="133">
        <v>73.02</v>
      </c>
      <c r="R105" s="107">
        <v>73.010000000000005</v>
      </c>
      <c r="S105" s="108">
        <v>74.97</v>
      </c>
    </row>
    <row r="106" spans="1:19" s="21" customFormat="1">
      <c r="A106" s="256">
        <v>26</v>
      </c>
      <c r="B106" s="257" t="s">
        <v>111</v>
      </c>
      <c r="C106" s="281"/>
      <c r="D106" s="293">
        <f>SUM(D46/D100)</f>
        <v>3.286882888640358</v>
      </c>
      <c r="E106" s="293">
        <f>SUM(E46/E100)</f>
        <v>3.5822431616503523</v>
      </c>
      <c r="F106" s="293">
        <f t="shared" ref="F106:O106" si="34">SUM(F46/F100)</f>
        <v>2.9385113042506217</v>
      </c>
      <c r="G106" s="293">
        <v>3.06</v>
      </c>
      <c r="H106" s="293">
        <f t="shared" si="34"/>
        <v>3.1469349528890906</v>
      </c>
      <c r="I106" s="293">
        <f t="shared" si="34"/>
        <v>2.9611022831814</v>
      </c>
      <c r="J106" s="293">
        <f t="shared" si="34"/>
        <v>2.8152879888832434</v>
      </c>
      <c r="K106" s="293">
        <f t="shared" si="34"/>
        <v>3.765606096640437</v>
      </c>
      <c r="L106" s="293">
        <f t="shared" si="34"/>
        <v>3.7212793661039205</v>
      </c>
      <c r="M106" s="293">
        <f t="shared" si="34"/>
        <v>4.0550728468069641</v>
      </c>
      <c r="N106" s="293">
        <f t="shared" si="34"/>
        <v>3.6301937953584815</v>
      </c>
      <c r="O106" s="293">
        <f t="shared" si="34"/>
        <v>3.6611145565695047</v>
      </c>
      <c r="P106" s="293">
        <f>SUM(P46/P100)</f>
        <v>3.9171034832600609</v>
      </c>
      <c r="Q106" s="94">
        <f>SUM(Q46/Q100)</f>
        <v>3.1927810765377544</v>
      </c>
      <c r="R106" s="145">
        <v>3.1924431681879613</v>
      </c>
      <c r="S106" s="140">
        <v>3.2249547969930137</v>
      </c>
    </row>
    <row r="107" spans="1:19" s="21" customFormat="1">
      <c r="A107" s="210"/>
      <c r="B107" s="207" t="s">
        <v>112</v>
      </c>
      <c r="C107" s="278"/>
      <c r="D107" s="269">
        <f>SUM(D47/D103)</f>
        <v>2.5354414689688967</v>
      </c>
      <c r="E107" s="269">
        <f>SUM(E47/E103)</f>
        <v>2.8819258977133915</v>
      </c>
      <c r="F107" s="269">
        <f>SUM(F47/F103)</f>
        <v>2.6204613783533763</v>
      </c>
      <c r="G107" s="269">
        <f>SUM(G47/G103)</f>
        <v>3.143029884263258</v>
      </c>
      <c r="H107" s="269">
        <f>SUM(H47/H103)</f>
        <v>2.8245331258337041</v>
      </c>
      <c r="I107" s="269">
        <v>0</v>
      </c>
      <c r="J107" s="269">
        <f>SUM(J47/J103)</f>
        <v>2.6663636363636365</v>
      </c>
      <c r="K107" s="269">
        <f t="shared" ref="K107:Q107" si="35">SUM(K47/K103)</f>
        <v>2.8258213412978552</v>
      </c>
      <c r="L107" s="269">
        <f t="shared" si="35"/>
        <v>3.559220509543966</v>
      </c>
      <c r="M107" s="269">
        <f t="shared" si="35"/>
        <v>3.0685400617534229</v>
      </c>
      <c r="N107" s="269">
        <f t="shared" si="35"/>
        <v>2.4017781090289607</v>
      </c>
      <c r="O107" s="269">
        <f t="shared" si="35"/>
        <v>2.7850877673262446</v>
      </c>
      <c r="P107" s="269">
        <f>SUM(P47/P103)</f>
        <v>2.7850028999917145</v>
      </c>
      <c r="Q107" s="97">
        <f t="shared" si="35"/>
        <v>2.8368990058543289</v>
      </c>
      <c r="R107" s="90">
        <v>2.7963982124984139</v>
      </c>
      <c r="S107" s="91">
        <v>2.7749825722211123</v>
      </c>
    </row>
    <row r="108" spans="1:19" s="21" customFormat="1" ht="27" customHeight="1">
      <c r="A108" s="217">
        <v>27</v>
      </c>
      <c r="B108" s="207" t="s">
        <v>113</v>
      </c>
      <c r="C108" s="294"/>
      <c r="D108" s="209">
        <v>1199</v>
      </c>
      <c r="E108" s="209">
        <v>592</v>
      </c>
      <c r="F108" s="209">
        <v>1352</v>
      </c>
      <c r="G108" s="209">
        <v>563</v>
      </c>
      <c r="H108" s="209">
        <v>1113</v>
      </c>
      <c r="I108" s="209">
        <v>473</v>
      </c>
      <c r="J108" s="209">
        <v>558</v>
      </c>
      <c r="K108" s="209">
        <v>539</v>
      </c>
      <c r="L108" s="209">
        <v>498</v>
      </c>
      <c r="M108" s="209">
        <v>730</v>
      </c>
      <c r="N108" s="209">
        <v>412</v>
      </c>
      <c r="O108" s="209">
        <v>599</v>
      </c>
      <c r="P108" s="209">
        <v>468</v>
      </c>
      <c r="Q108" s="44">
        <f>SUM(D108:P108)</f>
        <v>9096</v>
      </c>
      <c r="R108" s="45">
        <v>9296</v>
      </c>
      <c r="S108" s="38">
        <v>8934</v>
      </c>
    </row>
    <row r="109" spans="1:19" s="21" customFormat="1" ht="20.25" customHeight="1">
      <c r="A109" s="210"/>
      <c r="B109" s="207" t="s">
        <v>178</v>
      </c>
      <c r="C109" s="278"/>
      <c r="D109" s="295">
        <f t="shared" ref="D109:Q109" si="36">SUM(D108)/$C5</f>
        <v>38.677419354838712</v>
      </c>
      <c r="E109" s="295">
        <f t="shared" si="36"/>
        <v>19.096774193548388</v>
      </c>
      <c r="F109" s="295">
        <f t="shared" si="36"/>
        <v>43.612903225806448</v>
      </c>
      <c r="G109" s="295">
        <f t="shared" si="36"/>
        <v>18.161290322580644</v>
      </c>
      <c r="H109" s="295">
        <f t="shared" si="36"/>
        <v>35.903225806451616</v>
      </c>
      <c r="I109" s="295">
        <f t="shared" si="36"/>
        <v>15.258064516129032</v>
      </c>
      <c r="J109" s="295">
        <f t="shared" si="36"/>
        <v>18</v>
      </c>
      <c r="K109" s="295">
        <f t="shared" si="36"/>
        <v>17.387096774193548</v>
      </c>
      <c r="L109" s="295">
        <f t="shared" si="36"/>
        <v>16.06451612903226</v>
      </c>
      <c r="M109" s="295">
        <f t="shared" si="36"/>
        <v>23.548387096774192</v>
      </c>
      <c r="N109" s="295">
        <f t="shared" si="36"/>
        <v>13.290322580645162</v>
      </c>
      <c r="O109" s="295">
        <f t="shared" si="36"/>
        <v>19.322580645161292</v>
      </c>
      <c r="P109" s="295">
        <f t="shared" si="36"/>
        <v>15.096774193548388</v>
      </c>
      <c r="Q109" s="136">
        <f t="shared" si="36"/>
        <v>293.41935483870969</v>
      </c>
      <c r="R109" s="97">
        <v>299.87096774193549</v>
      </c>
      <c r="S109" s="98">
        <v>288.19354838709677</v>
      </c>
    </row>
    <row r="110" spans="1:19" s="21" customFormat="1" ht="18" customHeight="1">
      <c r="A110" s="210">
        <v>28</v>
      </c>
      <c r="B110" s="211" t="s">
        <v>115</v>
      </c>
      <c r="C110" s="274"/>
      <c r="D110" s="295">
        <f t="shared" ref="D110:Q110" si="37">SUM(D48/D108)</f>
        <v>502.3119266055046</v>
      </c>
      <c r="E110" s="295">
        <f t="shared" si="37"/>
        <v>1180.3800675675675</v>
      </c>
      <c r="F110" s="295">
        <f t="shared" si="37"/>
        <v>445.18417159763311</v>
      </c>
      <c r="G110" s="295">
        <f t="shared" si="37"/>
        <v>915.20248667850797</v>
      </c>
      <c r="H110" s="295">
        <f t="shared" si="37"/>
        <v>589.45642407906564</v>
      </c>
      <c r="I110" s="295">
        <f t="shared" si="37"/>
        <v>748.53911205073996</v>
      </c>
      <c r="J110" s="295">
        <f t="shared" si="37"/>
        <v>845.21326164874552</v>
      </c>
      <c r="K110" s="295">
        <f t="shared" si="37"/>
        <v>868.72541743970316</v>
      </c>
      <c r="L110" s="295">
        <f t="shared" si="37"/>
        <v>760.93975903614455</v>
      </c>
      <c r="M110" s="295">
        <f t="shared" si="37"/>
        <v>842.0219178082192</v>
      </c>
      <c r="N110" s="295">
        <f t="shared" si="37"/>
        <v>438.99029126213594</v>
      </c>
      <c r="O110" s="295">
        <f t="shared" si="37"/>
        <v>493.58931552587649</v>
      </c>
      <c r="P110" s="295">
        <f t="shared" si="37"/>
        <v>557.10256410256409</v>
      </c>
      <c r="Q110" s="136">
        <f t="shared" si="37"/>
        <v>670.52253737906767</v>
      </c>
      <c r="R110" s="145">
        <v>647.1554432013769</v>
      </c>
      <c r="S110" s="98">
        <v>683.20774569062007</v>
      </c>
    </row>
    <row r="111" spans="1:19" s="21" customFormat="1" ht="25.5">
      <c r="A111" s="210">
        <v>29</v>
      </c>
      <c r="B111" s="211" t="s">
        <v>116</v>
      </c>
      <c r="C111" s="274"/>
      <c r="D111" s="209">
        <v>15</v>
      </c>
      <c r="E111" s="209">
        <v>33</v>
      </c>
      <c r="F111" s="209">
        <v>26</v>
      </c>
      <c r="G111" s="209">
        <v>12</v>
      </c>
      <c r="H111" s="209">
        <v>23</v>
      </c>
      <c r="I111" s="209">
        <v>5</v>
      </c>
      <c r="J111" s="209">
        <v>23</v>
      </c>
      <c r="K111" s="209">
        <v>15</v>
      </c>
      <c r="L111" s="209">
        <v>16</v>
      </c>
      <c r="M111" s="209">
        <v>5</v>
      </c>
      <c r="N111" s="209">
        <v>3</v>
      </c>
      <c r="O111" s="209">
        <v>7</v>
      </c>
      <c r="P111" s="209">
        <v>10</v>
      </c>
      <c r="Q111" s="137">
        <f>SUM(D111:P111)</f>
        <v>193</v>
      </c>
      <c r="R111" s="185">
        <v>192</v>
      </c>
      <c r="S111" s="180">
        <v>279</v>
      </c>
    </row>
    <row r="112" spans="1:19" s="21" customFormat="1" ht="17.25" customHeight="1">
      <c r="A112" s="210">
        <v>30</v>
      </c>
      <c r="B112" s="211" t="s">
        <v>180</v>
      </c>
      <c r="C112" s="278"/>
      <c r="D112" s="272">
        <v>39216.866666666669</v>
      </c>
      <c r="E112" s="272">
        <v>48148.848484848488</v>
      </c>
      <c r="F112" s="272">
        <v>38263.346153846156</v>
      </c>
      <c r="G112" s="272">
        <v>49058.333333333336</v>
      </c>
      <c r="H112" s="272">
        <v>41314.695652173912</v>
      </c>
      <c r="I112" s="272">
        <v>60907</v>
      </c>
      <c r="J112" s="272">
        <v>56444.65217391304</v>
      </c>
      <c r="K112" s="272">
        <v>46586.6</v>
      </c>
      <c r="L112" s="272">
        <v>46667.875</v>
      </c>
      <c r="M112" s="272">
        <v>32438</v>
      </c>
      <c r="N112" s="272">
        <v>53671.333333333336</v>
      </c>
      <c r="O112" s="272">
        <v>39980.285714285717</v>
      </c>
      <c r="P112" s="272">
        <v>44948.9</v>
      </c>
      <c r="Q112" s="138">
        <v>45656.74611398964</v>
      </c>
      <c r="R112" s="185">
        <v>48418.963541666664</v>
      </c>
      <c r="S112" s="316">
        <v>45918</v>
      </c>
    </row>
    <row r="113" spans="1:20" s="21" customFormat="1" ht="27.75" customHeight="1">
      <c r="A113" s="252">
        <v>31</v>
      </c>
      <c r="B113" s="253" t="s">
        <v>118</v>
      </c>
      <c r="C113" s="292"/>
      <c r="D113" s="209">
        <v>16</v>
      </c>
      <c r="E113" s="209">
        <v>15</v>
      </c>
      <c r="F113" s="209">
        <v>9</v>
      </c>
      <c r="G113" s="209">
        <v>10</v>
      </c>
      <c r="H113" s="209">
        <v>14</v>
      </c>
      <c r="I113" s="209">
        <v>8</v>
      </c>
      <c r="J113" s="209">
        <v>22</v>
      </c>
      <c r="K113" s="209">
        <v>11</v>
      </c>
      <c r="L113" s="209">
        <v>13</v>
      </c>
      <c r="M113" s="209">
        <v>14</v>
      </c>
      <c r="N113" s="209">
        <v>5</v>
      </c>
      <c r="O113" s="209">
        <v>11</v>
      </c>
      <c r="P113" s="209">
        <v>12</v>
      </c>
      <c r="Q113" s="137">
        <f>SUM(D113:P113)</f>
        <v>160</v>
      </c>
      <c r="R113" s="137">
        <v>206</v>
      </c>
      <c r="S113" s="181">
        <v>328</v>
      </c>
    </row>
    <row r="114" spans="1:20" s="15" customFormat="1" ht="17.25" customHeight="1" thickBot="1">
      <c r="A114" s="296">
        <v>32</v>
      </c>
      <c r="B114" s="265" t="s">
        <v>179</v>
      </c>
      <c r="C114" s="275"/>
      <c r="D114" s="297">
        <v>40640.0625</v>
      </c>
      <c r="E114" s="297">
        <v>45928.466666666667</v>
      </c>
      <c r="F114" s="297">
        <v>30008.888888888891</v>
      </c>
      <c r="G114" s="297">
        <v>46647.6</v>
      </c>
      <c r="H114" s="297">
        <v>32065.714285714286</v>
      </c>
      <c r="I114" s="297">
        <v>39731.625</v>
      </c>
      <c r="J114" s="297">
        <v>42506.954545454544</v>
      </c>
      <c r="K114" s="297">
        <v>38723.727272727272</v>
      </c>
      <c r="L114" s="297">
        <v>40696.384615384617</v>
      </c>
      <c r="M114" s="297">
        <v>30334.285714285714</v>
      </c>
      <c r="N114" s="297">
        <v>39792</v>
      </c>
      <c r="O114" s="297">
        <v>30240.909090909092</v>
      </c>
      <c r="P114" s="297">
        <v>42722.75</v>
      </c>
      <c r="Q114" s="184">
        <v>38760.168749999997</v>
      </c>
      <c r="R114" s="103">
        <v>38222.7427184466</v>
      </c>
      <c r="S114" s="104">
        <v>38705.253048780491</v>
      </c>
    </row>
    <row r="115" spans="1:20" s="15" customFormat="1" ht="15" thickTop="1">
      <c r="A115" s="668" t="s">
        <v>120</v>
      </c>
      <c r="B115" s="669"/>
      <c r="C115" s="287"/>
      <c r="D115" s="209"/>
      <c r="E115" s="209"/>
      <c r="F115" s="209"/>
      <c r="G115" s="209"/>
      <c r="H115" s="209"/>
      <c r="I115" s="209"/>
      <c r="J115" s="209" t="s">
        <v>121</v>
      </c>
      <c r="K115" s="209"/>
      <c r="L115" s="209"/>
      <c r="M115" s="209"/>
      <c r="N115" s="209"/>
      <c r="O115" s="209"/>
      <c r="P115" s="209"/>
      <c r="Q115" s="13"/>
      <c r="R115" s="127"/>
      <c r="S115" s="178"/>
    </row>
    <row r="116" spans="1:20" s="21" customFormat="1">
      <c r="A116" s="210">
        <v>33</v>
      </c>
      <c r="B116" s="245" t="s">
        <v>122</v>
      </c>
      <c r="C116" s="298" t="s">
        <v>123</v>
      </c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97"/>
      <c r="R116" s="37"/>
      <c r="S116" s="38"/>
    </row>
    <row r="117" spans="1:20" s="21" customFormat="1">
      <c r="A117" s="210"/>
      <c r="B117" s="211" t="s">
        <v>124</v>
      </c>
      <c r="C117" s="299">
        <v>1</v>
      </c>
      <c r="D117" s="251" t="s">
        <v>72</v>
      </c>
      <c r="E117" s="251" t="s">
        <v>72</v>
      </c>
      <c r="F117" s="251" t="s">
        <v>72</v>
      </c>
      <c r="G117" s="251" t="s">
        <v>72</v>
      </c>
      <c r="H117" s="251" t="s">
        <v>72</v>
      </c>
      <c r="I117" s="251" t="s">
        <v>72</v>
      </c>
      <c r="J117" s="251" t="s">
        <v>72</v>
      </c>
      <c r="K117" s="251" t="s">
        <v>72</v>
      </c>
      <c r="L117" s="251" t="s">
        <v>72</v>
      </c>
      <c r="M117" s="251" t="s">
        <v>72</v>
      </c>
      <c r="N117" s="251" t="s">
        <v>72</v>
      </c>
      <c r="O117" s="251" t="s">
        <v>72</v>
      </c>
      <c r="P117" s="251" t="s">
        <v>72</v>
      </c>
      <c r="Q117" s="97">
        <v>0.47</v>
      </c>
      <c r="R117" s="100">
        <v>0.47</v>
      </c>
      <c r="S117" s="96">
        <v>0.48</v>
      </c>
    </row>
    <row r="118" spans="1:20" s="21" customFormat="1">
      <c r="A118" s="210"/>
      <c r="B118" s="211" t="s">
        <v>125</v>
      </c>
      <c r="C118" s="299">
        <v>6.5</v>
      </c>
      <c r="D118" s="251" t="s">
        <v>72</v>
      </c>
      <c r="E118" s="251" t="s">
        <v>72</v>
      </c>
      <c r="F118" s="251" t="s">
        <v>72</v>
      </c>
      <c r="G118" s="251" t="s">
        <v>72</v>
      </c>
      <c r="H118" s="251" t="s">
        <v>72</v>
      </c>
      <c r="I118" s="251" t="s">
        <v>72</v>
      </c>
      <c r="J118" s="251" t="s">
        <v>72</v>
      </c>
      <c r="K118" s="251" t="s">
        <v>72</v>
      </c>
      <c r="L118" s="251" t="s">
        <v>72</v>
      </c>
      <c r="M118" s="251" t="s">
        <v>72</v>
      </c>
      <c r="N118" s="251" t="s">
        <v>72</v>
      </c>
      <c r="O118" s="251" t="s">
        <v>72</v>
      </c>
      <c r="P118" s="251" t="s">
        <v>72</v>
      </c>
      <c r="Q118" s="97">
        <v>4.87</v>
      </c>
      <c r="R118" s="97">
        <v>4.9000000000000004</v>
      </c>
      <c r="S118" s="98">
        <v>4.8899999999999997</v>
      </c>
    </row>
    <row r="119" spans="1:20" s="21" customFormat="1">
      <c r="A119" s="210"/>
      <c r="B119" s="211" t="s">
        <v>126</v>
      </c>
      <c r="C119" s="300">
        <v>1.5</v>
      </c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97">
        <v>0.98</v>
      </c>
      <c r="R119" s="97">
        <v>0.99</v>
      </c>
      <c r="S119" s="98">
        <v>0.92</v>
      </c>
    </row>
    <row r="120" spans="1:20" s="21" customFormat="1" ht="15">
      <c r="A120" s="252"/>
      <c r="B120" s="245" t="s">
        <v>127</v>
      </c>
      <c r="C120" s="301">
        <f>SUM(C117:C119)</f>
        <v>9</v>
      </c>
      <c r="D120" s="251" t="s">
        <v>72</v>
      </c>
      <c r="E120" s="251" t="s">
        <v>72</v>
      </c>
      <c r="F120" s="251" t="s">
        <v>72</v>
      </c>
      <c r="G120" s="251" t="s">
        <v>72</v>
      </c>
      <c r="H120" s="251" t="s">
        <v>72</v>
      </c>
      <c r="I120" s="251" t="s">
        <v>72</v>
      </c>
      <c r="J120" s="251" t="s">
        <v>72</v>
      </c>
      <c r="K120" s="251" t="s">
        <v>72</v>
      </c>
      <c r="L120" s="251" t="s">
        <v>72</v>
      </c>
      <c r="M120" s="251" t="s">
        <v>72</v>
      </c>
      <c r="N120" s="251" t="s">
        <v>72</v>
      </c>
      <c r="O120" s="251" t="s">
        <v>72</v>
      </c>
      <c r="P120" s="251" t="s">
        <v>72</v>
      </c>
      <c r="Q120" s="97">
        <f>SUM(Q117:Q119)</f>
        <v>6.32</v>
      </c>
      <c r="R120" s="97">
        <v>6.36</v>
      </c>
      <c r="S120" s="98">
        <v>6.2899999999999991</v>
      </c>
    </row>
    <row r="121" spans="1:20" s="21" customFormat="1" ht="38.25">
      <c r="A121" s="217">
        <v>34</v>
      </c>
      <c r="B121" s="207" t="s">
        <v>128</v>
      </c>
      <c r="C121" s="287"/>
      <c r="D121" s="228" t="s">
        <v>72</v>
      </c>
      <c r="E121" s="228" t="s">
        <v>72</v>
      </c>
      <c r="F121" s="228" t="s">
        <v>72</v>
      </c>
      <c r="G121" s="228" t="s">
        <v>72</v>
      </c>
      <c r="H121" s="228" t="s">
        <v>72</v>
      </c>
      <c r="I121" s="228" t="s">
        <v>72</v>
      </c>
      <c r="J121" s="228" t="s">
        <v>72</v>
      </c>
      <c r="K121" s="228" t="s">
        <v>72</v>
      </c>
      <c r="L121" s="228" t="s">
        <v>72</v>
      </c>
      <c r="M121" s="228" t="s">
        <v>72</v>
      </c>
      <c r="N121" s="228" t="s">
        <v>72</v>
      </c>
      <c r="O121" s="228" t="s">
        <v>72</v>
      </c>
      <c r="P121" s="228" t="s">
        <v>72</v>
      </c>
      <c r="Q121" s="145">
        <v>1113.6199999999999</v>
      </c>
      <c r="R121" s="97">
        <v>1045</v>
      </c>
      <c r="S121" s="98">
        <v>999.03</v>
      </c>
    </row>
    <row r="122" spans="1:20" s="21" customFormat="1" ht="25.5">
      <c r="A122" s="223">
        <v>35</v>
      </c>
      <c r="B122" s="224" t="s">
        <v>129</v>
      </c>
      <c r="C122" s="302">
        <v>74</v>
      </c>
      <c r="D122" s="209">
        <v>388</v>
      </c>
      <c r="E122" s="209">
        <v>302</v>
      </c>
      <c r="F122" s="209">
        <v>120</v>
      </c>
      <c r="G122" s="209">
        <v>89</v>
      </c>
      <c r="H122" s="209">
        <v>130</v>
      </c>
      <c r="I122" s="209">
        <v>67</v>
      </c>
      <c r="J122" s="209">
        <v>116</v>
      </c>
      <c r="K122" s="209">
        <v>107</v>
      </c>
      <c r="L122" s="209">
        <v>61</v>
      </c>
      <c r="M122" s="209">
        <v>78</v>
      </c>
      <c r="N122" s="209">
        <v>102</v>
      </c>
      <c r="O122" s="209">
        <v>50</v>
      </c>
      <c r="P122" s="209">
        <v>55</v>
      </c>
      <c r="Q122" s="137">
        <f>SUM(C122:P122)</f>
        <v>1739</v>
      </c>
      <c r="R122" s="59">
        <v>1522</v>
      </c>
      <c r="S122" s="60">
        <v>1651</v>
      </c>
    </row>
    <row r="123" spans="1:20" s="21" customFormat="1" ht="38.25">
      <c r="A123" s="256">
        <v>36</v>
      </c>
      <c r="B123" s="257" t="s">
        <v>130</v>
      </c>
      <c r="C123" s="303"/>
      <c r="D123" s="304" t="s">
        <v>72</v>
      </c>
      <c r="E123" s="304" t="s">
        <v>72</v>
      </c>
      <c r="F123" s="304" t="s">
        <v>72</v>
      </c>
      <c r="G123" s="304" t="s">
        <v>72</v>
      </c>
      <c r="H123" s="304" t="s">
        <v>72</v>
      </c>
      <c r="I123" s="304" t="s">
        <v>72</v>
      </c>
      <c r="J123" s="304" t="s">
        <v>72</v>
      </c>
      <c r="K123" s="304" t="s">
        <v>72</v>
      </c>
      <c r="L123" s="304" t="s">
        <v>72</v>
      </c>
      <c r="M123" s="304" t="s">
        <v>72</v>
      </c>
      <c r="N123" s="304" t="s">
        <v>72</v>
      </c>
      <c r="O123" s="304" t="s">
        <v>72</v>
      </c>
      <c r="P123" s="304" t="s">
        <v>72</v>
      </c>
      <c r="Q123" s="113">
        <v>1532</v>
      </c>
      <c r="R123" s="45">
        <v>1814</v>
      </c>
      <c r="S123" s="46">
        <v>2810</v>
      </c>
    </row>
    <row r="124" spans="1:20" s="21" customFormat="1" ht="20.100000000000001" customHeight="1">
      <c r="A124" s="217">
        <v>37</v>
      </c>
      <c r="B124" s="207" t="s">
        <v>131</v>
      </c>
      <c r="C124" s="218"/>
      <c r="D124" s="228" t="s">
        <v>72</v>
      </c>
      <c r="E124" s="228" t="s">
        <v>72</v>
      </c>
      <c r="F124" s="228" t="s">
        <v>72</v>
      </c>
      <c r="G124" s="228" t="s">
        <v>72</v>
      </c>
      <c r="H124" s="228" t="s">
        <v>72</v>
      </c>
      <c r="I124" s="228" t="s">
        <v>72</v>
      </c>
      <c r="J124" s="228" t="s">
        <v>72</v>
      </c>
      <c r="K124" s="228" t="s">
        <v>72</v>
      </c>
      <c r="L124" s="228" t="s">
        <v>72</v>
      </c>
      <c r="M124" s="228" t="s">
        <v>72</v>
      </c>
      <c r="N124" s="228" t="s">
        <v>72</v>
      </c>
      <c r="O124" s="228" t="s">
        <v>72</v>
      </c>
      <c r="P124" s="228" t="s">
        <v>72</v>
      </c>
      <c r="Q124" s="44">
        <v>307</v>
      </c>
      <c r="R124" s="167">
        <v>307</v>
      </c>
      <c r="S124" s="38">
        <v>310</v>
      </c>
    </row>
    <row r="125" spans="1:20" s="15" customFormat="1" ht="20.100000000000001" customHeight="1">
      <c r="A125" s="232"/>
      <c r="B125" s="224" t="s">
        <v>132</v>
      </c>
      <c r="C125" s="234"/>
      <c r="D125" s="273" t="s">
        <v>72</v>
      </c>
      <c r="E125" s="273" t="s">
        <v>72</v>
      </c>
      <c r="F125" s="273" t="s">
        <v>72</v>
      </c>
      <c r="G125" s="273" t="s">
        <v>72</v>
      </c>
      <c r="H125" s="273" t="s">
        <v>72</v>
      </c>
      <c r="I125" s="273" t="s">
        <v>72</v>
      </c>
      <c r="J125" s="273" t="s">
        <v>72</v>
      </c>
      <c r="K125" s="273" t="s">
        <v>72</v>
      </c>
      <c r="L125" s="273" t="s">
        <v>72</v>
      </c>
      <c r="M125" s="273" t="s">
        <v>72</v>
      </c>
      <c r="N125" s="273" t="s">
        <v>72</v>
      </c>
      <c r="O125" s="273" t="s">
        <v>72</v>
      </c>
      <c r="P125" s="273" t="s">
        <v>72</v>
      </c>
      <c r="Q125" s="42">
        <v>21.51</v>
      </c>
      <c r="R125" s="80">
        <v>21.51</v>
      </c>
      <c r="S125" s="318">
        <v>21.82</v>
      </c>
    </row>
    <row r="126" spans="1:20" s="15" customFormat="1" ht="20.100000000000001" customHeight="1">
      <c r="A126" s="206">
        <v>38</v>
      </c>
      <c r="B126" s="207" t="s">
        <v>133</v>
      </c>
      <c r="C126" s="220"/>
      <c r="D126" s="209" t="s">
        <v>72</v>
      </c>
      <c r="E126" s="209" t="s">
        <v>72</v>
      </c>
      <c r="F126" s="209" t="s">
        <v>72</v>
      </c>
      <c r="G126" s="209" t="s">
        <v>72</v>
      </c>
      <c r="H126" s="209" t="s">
        <v>72</v>
      </c>
      <c r="I126" s="209" t="s">
        <v>72</v>
      </c>
      <c r="J126" s="209" t="s">
        <v>72</v>
      </c>
      <c r="K126" s="209" t="s">
        <v>72</v>
      </c>
      <c r="L126" s="209" t="s">
        <v>72</v>
      </c>
      <c r="M126" s="209" t="s">
        <v>72</v>
      </c>
      <c r="N126" s="209" t="s">
        <v>72</v>
      </c>
      <c r="O126" s="209" t="s">
        <v>72</v>
      </c>
      <c r="P126" s="209" t="s">
        <v>72</v>
      </c>
      <c r="Q126" s="36">
        <v>451001007</v>
      </c>
      <c r="R126" s="44">
        <v>443498734</v>
      </c>
      <c r="S126" s="14">
        <v>447041610</v>
      </c>
      <c r="T126" s="199"/>
    </row>
    <row r="127" spans="1:20" s="21" customFormat="1" ht="20.100000000000001" customHeight="1">
      <c r="A127" s="210"/>
      <c r="B127" s="211" t="s">
        <v>134</v>
      </c>
      <c r="C127" s="212"/>
      <c r="D127" s="251" t="s">
        <v>72</v>
      </c>
      <c r="E127" s="251" t="s">
        <v>72</v>
      </c>
      <c r="F127" s="251" t="s">
        <v>72</v>
      </c>
      <c r="G127" s="251" t="s">
        <v>72</v>
      </c>
      <c r="H127" s="251" t="s">
        <v>72</v>
      </c>
      <c r="I127" s="251" t="s">
        <v>72</v>
      </c>
      <c r="J127" s="251" t="s">
        <v>72</v>
      </c>
      <c r="K127" s="251" t="s">
        <v>72</v>
      </c>
      <c r="L127" s="251" t="s">
        <v>72</v>
      </c>
      <c r="M127" s="251" t="s">
        <v>72</v>
      </c>
      <c r="N127" s="251" t="s">
        <v>72</v>
      </c>
      <c r="O127" s="251" t="s">
        <v>72</v>
      </c>
      <c r="P127" s="251" t="s">
        <v>72</v>
      </c>
      <c r="Q127" s="37">
        <f>Q126/31</f>
        <v>14548419.580645161</v>
      </c>
      <c r="R127" s="128">
        <v>14306410.774193548</v>
      </c>
      <c r="S127" s="317">
        <v>14420697.096774194</v>
      </c>
    </row>
    <row r="128" spans="1:20" s="15" customFormat="1" ht="20.100000000000001" customHeight="1">
      <c r="A128" s="261"/>
      <c r="B128" s="211" t="s">
        <v>135</v>
      </c>
      <c r="C128" s="262"/>
      <c r="D128" s="230" t="s">
        <v>72</v>
      </c>
      <c r="E128" s="230" t="s">
        <v>72</v>
      </c>
      <c r="F128" s="230" t="s">
        <v>72</v>
      </c>
      <c r="G128" s="230" t="s">
        <v>72</v>
      </c>
      <c r="H128" s="230" t="s">
        <v>72</v>
      </c>
      <c r="I128" s="230" t="s">
        <v>72</v>
      </c>
      <c r="J128" s="230" t="s">
        <v>72</v>
      </c>
      <c r="K128" s="230" t="s">
        <v>72</v>
      </c>
      <c r="L128" s="230" t="s">
        <v>72</v>
      </c>
      <c r="M128" s="230" t="s">
        <v>72</v>
      </c>
      <c r="N128" s="230" t="s">
        <v>72</v>
      </c>
      <c r="O128" s="230" t="s">
        <v>72</v>
      </c>
      <c r="P128" s="230" t="s">
        <v>72</v>
      </c>
      <c r="Q128" s="90">
        <f>SUM(Q127/Q130)</f>
        <v>13.200131725898443</v>
      </c>
      <c r="R128" s="100">
        <v>12.948349077860323</v>
      </c>
      <c r="S128" s="91">
        <v>13.312129511688347</v>
      </c>
    </row>
    <row r="129" spans="1:20" s="21" customFormat="1" ht="20.100000000000001" customHeight="1">
      <c r="A129" s="252"/>
      <c r="B129" s="253" t="s">
        <v>136</v>
      </c>
      <c r="C129" s="225"/>
      <c r="D129" s="271">
        <v>49.886905586279923</v>
      </c>
      <c r="E129" s="271">
        <v>51.109077447321006</v>
      </c>
      <c r="F129" s="271">
        <v>59.094924989685744</v>
      </c>
      <c r="G129" s="271">
        <v>61.244226080838622</v>
      </c>
      <c r="H129" s="271">
        <v>53.625786562869678</v>
      </c>
      <c r="I129" s="271">
        <v>56.461591930357471</v>
      </c>
      <c r="J129" s="271">
        <v>56.615967788288962</v>
      </c>
      <c r="K129" s="271">
        <v>47.480975421008651</v>
      </c>
      <c r="L129" s="271">
        <v>49.443720257704193</v>
      </c>
      <c r="M129" s="271">
        <v>44.198063276151473</v>
      </c>
      <c r="N129" s="271">
        <v>54.637775463488708</v>
      </c>
      <c r="O129" s="271">
        <v>54.701539246547057</v>
      </c>
      <c r="P129" s="271">
        <v>50.347390701538785</v>
      </c>
      <c r="Q129" s="107">
        <f>Q126/Q34</f>
        <v>52.728205879450726</v>
      </c>
      <c r="R129" s="107">
        <v>51.953325748633745</v>
      </c>
      <c r="S129" s="98">
        <v>51.384518354634658</v>
      </c>
    </row>
    <row r="130" spans="1:20" s="21" customFormat="1" ht="63.75">
      <c r="A130" s="256">
        <v>39</v>
      </c>
      <c r="B130" s="257" t="s">
        <v>137</v>
      </c>
      <c r="C130" s="303"/>
      <c r="D130" s="304" t="s">
        <v>72</v>
      </c>
      <c r="E130" s="304" t="s">
        <v>72</v>
      </c>
      <c r="F130" s="304" t="s">
        <v>72</v>
      </c>
      <c r="G130" s="304" t="s">
        <v>72</v>
      </c>
      <c r="H130" s="304" t="s">
        <v>72</v>
      </c>
      <c r="I130" s="304" t="s">
        <v>72</v>
      </c>
      <c r="J130" s="304" t="s">
        <v>72</v>
      </c>
      <c r="K130" s="304" t="s">
        <v>72</v>
      </c>
      <c r="L130" s="304" t="s">
        <v>72</v>
      </c>
      <c r="M130" s="304" t="s">
        <v>72</v>
      </c>
      <c r="N130" s="304" t="s">
        <v>72</v>
      </c>
      <c r="O130" s="304" t="s">
        <v>72</v>
      </c>
      <c r="P130" s="304" t="s">
        <v>72</v>
      </c>
      <c r="Q130" s="45">
        <v>1102142</v>
      </c>
      <c r="R130" s="36">
        <v>1104883</v>
      </c>
      <c r="S130" s="317">
        <v>1083275</v>
      </c>
      <c r="T130" s="198"/>
    </row>
    <row r="131" spans="1:20" s="21" customFormat="1" ht="38.25">
      <c r="A131" s="210"/>
      <c r="B131" s="211" t="s">
        <v>138</v>
      </c>
      <c r="C131" s="262"/>
      <c r="D131" s="251" t="s">
        <v>72</v>
      </c>
      <c r="E131" s="251" t="s">
        <v>72</v>
      </c>
      <c r="F131" s="251" t="s">
        <v>72</v>
      </c>
      <c r="G131" s="251" t="s">
        <v>72</v>
      </c>
      <c r="H131" s="251" t="s">
        <v>72</v>
      </c>
      <c r="I131" s="251" t="s">
        <v>72</v>
      </c>
      <c r="J131" s="251" t="s">
        <v>72</v>
      </c>
      <c r="K131" s="251" t="s">
        <v>72</v>
      </c>
      <c r="L131" s="251" t="s">
        <v>72</v>
      </c>
      <c r="M131" s="251" t="s">
        <v>72</v>
      </c>
      <c r="N131" s="251" t="s">
        <v>72</v>
      </c>
      <c r="O131" s="251" t="s">
        <v>72</v>
      </c>
      <c r="P131" s="251" t="s">
        <v>72</v>
      </c>
      <c r="Q131" s="37">
        <f>SUM(Q130-Q65)</f>
        <v>286265.3548387097</v>
      </c>
      <c r="R131" s="37">
        <v>272609.03225806472</v>
      </c>
      <c r="S131" s="38">
        <v>267571.29032258049</v>
      </c>
    </row>
    <row r="132" spans="1:20" s="21" customFormat="1" ht="25.5">
      <c r="A132" s="210"/>
      <c r="B132" s="211" t="s">
        <v>139</v>
      </c>
      <c r="C132" s="262"/>
      <c r="D132" s="251" t="s">
        <v>72</v>
      </c>
      <c r="E132" s="251" t="s">
        <v>72</v>
      </c>
      <c r="F132" s="251" t="s">
        <v>72</v>
      </c>
      <c r="G132" s="251" t="s">
        <v>72</v>
      </c>
      <c r="H132" s="251" t="s">
        <v>72</v>
      </c>
      <c r="I132" s="251" t="s">
        <v>72</v>
      </c>
      <c r="J132" s="251" t="s">
        <v>72</v>
      </c>
      <c r="K132" s="251" t="s">
        <v>72</v>
      </c>
      <c r="L132" s="251" t="s">
        <v>72</v>
      </c>
      <c r="M132" s="251" t="s">
        <v>72</v>
      </c>
      <c r="N132" s="251" t="s">
        <v>72</v>
      </c>
      <c r="O132" s="251" t="s">
        <v>72</v>
      </c>
      <c r="P132" s="251" t="s">
        <v>72</v>
      </c>
      <c r="Q132" s="97">
        <f>SUM(Q131/Q130)*100</f>
        <v>25.973545590197062</v>
      </c>
      <c r="R132" s="145">
        <v>24.673113104108282</v>
      </c>
      <c r="S132" s="98">
        <v>24.700218349226237</v>
      </c>
    </row>
    <row r="133" spans="1:20" s="15" customFormat="1" ht="25.5">
      <c r="A133" s="261"/>
      <c r="B133" s="211" t="s">
        <v>140</v>
      </c>
      <c r="C133" s="262"/>
      <c r="D133" s="251" t="s">
        <v>72</v>
      </c>
      <c r="E133" s="251" t="s">
        <v>72</v>
      </c>
      <c r="F133" s="251" t="s">
        <v>72</v>
      </c>
      <c r="G133" s="251" t="s">
        <v>72</v>
      </c>
      <c r="H133" s="251" t="s">
        <v>72</v>
      </c>
      <c r="I133" s="251" t="s">
        <v>72</v>
      </c>
      <c r="J133" s="251" t="s">
        <v>72</v>
      </c>
      <c r="K133" s="251" t="s">
        <v>72</v>
      </c>
      <c r="L133" s="251" t="s">
        <v>72</v>
      </c>
      <c r="M133" s="251" t="s">
        <v>72</v>
      </c>
      <c r="N133" s="251" t="s">
        <v>72</v>
      </c>
      <c r="O133" s="251" t="s">
        <v>72</v>
      </c>
      <c r="P133" s="251" t="s">
        <v>72</v>
      </c>
      <c r="Q133" s="90">
        <f>Q130/1370</f>
        <v>804.48321167883216</v>
      </c>
      <c r="R133" s="97">
        <v>810.62582538517972</v>
      </c>
      <c r="S133" s="98">
        <v>776.54121863799287</v>
      </c>
    </row>
    <row r="134" spans="1:20" s="15" customFormat="1" ht="26.25" thickBot="1">
      <c r="A134" s="296"/>
      <c r="B134" s="265" t="s">
        <v>141</v>
      </c>
      <c r="C134" s="305"/>
      <c r="D134" s="276" t="s">
        <v>72</v>
      </c>
      <c r="E134" s="276" t="s">
        <v>72</v>
      </c>
      <c r="F134" s="276" t="s">
        <v>72</v>
      </c>
      <c r="G134" s="276" t="s">
        <v>72</v>
      </c>
      <c r="H134" s="276" t="s">
        <v>72</v>
      </c>
      <c r="I134" s="276" t="s">
        <v>72</v>
      </c>
      <c r="J134" s="276" t="s">
        <v>72</v>
      </c>
      <c r="K134" s="276" t="s">
        <v>72</v>
      </c>
      <c r="L134" s="276" t="s">
        <v>72</v>
      </c>
      <c r="M134" s="276" t="s">
        <v>72</v>
      </c>
      <c r="N134" s="276" t="s">
        <v>72</v>
      </c>
      <c r="O134" s="276" t="s">
        <v>72</v>
      </c>
      <c r="P134" s="276" t="s">
        <v>72</v>
      </c>
      <c r="Q134" s="151">
        <f>Q127/1370</f>
        <v>10619.284365434423</v>
      </c>
      <c r="R134" s="73">
        <v>10496.266158615956</v>
      </c>
      <c r="S134" s="74">
        <v>10337.417273673258</v>
      </c>
    </row>
    <row r="135" spans="1:20" ht="13.5" thickTop="1">
      <c r="A135" s="153"/>
      <c r="B135" s="154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S135" s="31"/>
    </row>
    <row r="136" spans="1:20" ht="12.75">
      <c r="A136" s="153"/>
      <c r="B136" s="154"/>
      <c r="C136" s="155"/>
      <c r="D136" s="155">
        <f>D129*D34</f>
        <v>35402392.210020304</v>
      </c>
      <c r="E136" s="155">
        <f t="shared" ref="E136:Q136" si="38">E129*E34</f>
        <v>54652520.895821221</v>
      </c>
      <c r="F136" s="155">
        <f t="shared" si="38"/>
        <v>37248949.499198675</v>
      </c>
      <c r="G136" s="155">
        <f t="shared" si="38"/>
        <v>57018129.504356436</v>
      </c>
      <c r="H136" s="155">
        <f t="shared" si="38"/>
        <v>39702548.217045881</v>
      </c>
      <c r="I136" s="155">
        <f t="shared" si="38"/>
        <v>22029675.785059504</v>
      </c>
      <c r="J136" s="155">
        <f t="shared" si="38"/>
        <v>33513595.668406498</v>
      </c>
      <c r="K136" s="155">
        <f t="shared" si="38"/>
        <v>46480551.268887997</v>
      </c>
      <c r="L136" s="155">
        <f t="shared" si="38"/>
        <v>37636114.866682112</v>
      </c>
      <c r="M136" s="155">
        <f t="shared" si="38"/>
        <v>30806138.499604128</v>
      </c>
      <c r="N136" s="155">
        <f t="shared" si="38"/>
        <v>24781564.076995403</v>
      </c>
      <c r="O136" s="155">
        <f t="shared" si="38"/>
        <v>19196958.183183223</v>
      </c>
      <c r="P136" s="155">
        <f t="shared" si="38"/>
        <v>12531868.324738616</v>
      </c>
      <c r="Q136" s="155">
        <f t="shared" si="38"/>
        <v>451001006.99999994</v>
      </c>
      <c r="S136" s="31"/>
    </row>
    <row r="137" spans="1:20" ht="12.75">
      <c r="A137" s="153"/>
      <c r="B137" s="154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S137" s="31"/>
    </row>
    <row r="138" spans="1:20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156"/>
      <c r="L138" s="31"/>
      <c r="M138" s="31"/>
      <c r="N138" s="155"/>
      <c r="O138" s="155"/>
      <c r="P138" s="155"/>
      <c r="Q138" s="158"/>
      <c r="R138" s="159"/>
      <c r="S138" s="31"/>
    </row>
    <row r="139" spans="1:20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156"/>
      <c r="L139" s="31"/>
      <c r="M139" s="31"/>
      <c r="N139" s="155"/>
      <c r="O139" s="155"/>
      <c r="P139" s="155"/>
      <c r="Q139" s="158"/>
      <c r="R139" s="159"/>
      <c r="S139" s="31"/>
    </row>
    <row r="140" spans="1:20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L140" s="31"/>
      <c r="M140" s="31"/>
      <c r="N140" s="155"/>
      <c r="O140" s="155"/>
      <c r="P140" s="155"/>
      <c r="Q140" s="155"/>
      <c r="R140" s="159"/>
      <c r="S140" s="31"/>
    </row>
    <row r="141" spans="1:20" s="161" customFormat="1" ht="16.5">
      <c r="A141" s="660" t="s">
        <v>142</v>
      </c>
      <c r="B141" s="660"/>
      <c r="C141" s="160"/>
      <c r="D141" s="160"/>
      <c r="E141" s="160"/>
      <c r="F141" s="160"/>
      <c r="G141" s="160"/>
      <c r="I141" s="162"/>
      <c r="J141" s="162"/>
      <c r="K141" s="162"/>
      <c r="L141" s="162"/>
      <c r="M141" s="661" t="s">
        <v>143</v>
      </c>
      <c r="N141" s="661"/>
      <c r="O141" s="661"/>
      <c r="P141" s="661"/>
      <c r="Q141" s="661"/>
      <c r="R141" s="661"/>
      <c r="S141" s="163"/>
    </row>
    <row r="142" spans="1:20" s="161" customFormat="1" ht="16.5">
      <c r="A142" s="660" t="s">
        <v>188</v>
      </c>
      <c r="B142" s="660"/>
      <c r="C142" s="160"/>
      <c r="D142" s="160"/>
      <c r="E142" s="160"/>
      <c r="F142" s="160"/>
      <c r="G142" s="160"/>
      <c r="I142" s="162"/>
      <c r="J142" s="162"/>
      <c r="K142" s="162"/>
      <c r="L142" s="162"/>
      <c r="M142" s="661" t="s">
        <v>144</v>
      </c>
      <c r="N142" s="661"/>
      <c r="O142" s="661"/>
      <c r="P142" s="661"/>
      <c r="Q142" s="661"/>
      <c r="R142" s="661"/>
    </row>
    <row r="143" spans="1:20">
      <c r="A143" s="31"/>
      <c r="B143" s="154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R143" s="164"/>
    </row>
    <row r="144" spans="1:20">
      <c r="A144" s="31"/>
      <c r="B144" s="154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9" s="31" customFormat="1">
      <c r="B145" s="154"/>
      <c r="S145" s="163"/>
    </row>
    <row r="146" spans="2:19" s="31" customFormat="1">
      <c r="B146" s="154"/>
      <c r="S146" s="163"/>
    </row>
    <row r="147" spans="2:19" s="31" customFormat="1">
      <c r="B147" s="154"/>
      <c r="S147" s="163"/>
    </row>
    <row r="148" spans="2:19" s="31" customFormat="1">
      <c r="B148" s="154"/>
      <c r="S148" s="163"/>
    </row>
    <row r="149" spans="2:19" s="31" customFormat="1">
      <c r="B149" s="154"/>
      <c r="S149" s="163"/>
    </row>
    <row r="150" spans="2:19" s="31" customFormat="1">
      <c r="B150" s="154"/>
      <c r="S150" s="163"/>
    </row>
    <row r="151" spans="2:19" s="31" customFormat="1">
      <c r="B151" s="154"/>
      <c r="S151" s="163"/>
    </row>
    <row r="152" spans="2:19" s="31" customFormat="1">
      <c r="B152" s="154"/>
      <c r="D152" s="189" t="e">
        <f>D131*D36</f>
        <v>#VALUE!</v>
      </c>
      <c r="E152" s="189" t="e">
        <f t="shared" ref="E152:N152" si="39">E131*E36</f>
        <v>#VALUE!</v>
      </c>
      <c r="F152" s="189" t="e">
        <f t="shared" si="39"/>
        <v>#VALUE!</v>
      </c>
      <c r="G152" s="189" t="e">
        <f t="shared" si="39"/>
        <v>#VALUE!</v>
      </c>
      <c r="H152" s="189" t="e">
        <f t="shared" si="39"/>
        <v>#VALUE!</v>
      </c>
      <c r="I152" s="189" t="e">
        <f t="shared" si="39"/>
        <v>#VALUE!</v>
      </c>
      <c r="J152" s="189" t="e">
        <f t="shared" si="39"/>
        <v>#VALUE!</v>
      </c>
      <c r="K152" s="189" t="e">
        <f t="shared" si="39"/>
        <v>#VALUE!</v>
      </c>
      <c r="L152" s="189" t="e">
        <f t="shared" si="39"/>
        <v>#VALUE!</v>
      </c>
      <c r="M152" s="189" t="e">
        <f t="shared" si="39"/>
        <v>#VALUE!</v>
      </c>
      <c r="N152" s="189" t="e">
        <f t="shared" si="39"/>
        <v>#VALUE!</v>
      </c>
      <c r="O152" s="189" t="e">
        <f>O131*O36</f>
        <v>#VALUE!</v>
      </c>
      <c r="P152" s="189" t="e">
        <f>P131*P36</f>
        <v>#VALUE!</v>
      </c>
      <c r="Q152" s="189">
        <f>Q131*Q36</f>
        <v>57652885.325820893</v>
      </c>
      <c r="S152" s="163"/>
    </row>
    <row r="153" spans="2:19" s="31" customFormat="1">
      <c r="B153" s="154"/>
      <c r="S153" s="163"/>
    </row>
    <row r="154" spans="2:19" s="31" customFormat="1">
      <c r="B154" s="154"/>
      <c r="S154" s="163"/>
    </row>
    <row r="155" spans="2:19" s="31" customFormat="1">
      <c r="B155" s="154"/>
      <c r="S155" s="163"/>
    </row>
    <row r="156" spans="2:19" s="31" customFormat="1">
      <c r="B156" s="154"/>
      <c r="S156" s="163"/>
    </row>
    <row r="157" spans="2:19" s="31" customFormat="1">
      <c r="B157" s="154"/>
      <c r="S157" s="163"/>
    </row>
    <row r="158" spans="2:19" s="31" customFormat="1">
      <c r="B158" s="154"/>
      <c r="S158" s="163"/>
    </row>
    <row r="159" spans="2:19" s="31" customFormat="1">
      <c r="B159" s="154"/>
      <c r="S159" s="163"/>
    </row>
    <row r="160" spans="2:19" s="31" customFormat="1">
      <c r="B160" s="154"/>
      <c r="S160" s="163"/>
    </row>
    <row r="161" spans="2:19" s="31" customFormat="1">
      <c r="B161" s="154"/>
      <c r="S161" s="163"/>
    </row>
    <row r="162" spans="2:19" s="31" customFormat="1">
      <c r="B162" s="154"/>
      <c r="S162" s="163"/>
    </row>
    <row r="163" spans="2:19" s="31" customFormat="1">
      <c r="B163" s="154"/>
      <c r="S163" s="163"/>
    </row>
    <row r="164" spans="2:19" s="31" customFormat="1">
      <c r="B164" s="154"/>
      <c r="S164" s="163"/>
    </row>
    <row r="165" spans="2:19" s="31" customFormat="1">
      <c r="B165" s="154"/>
      <c r="S165" s="163"/>
    </row>
    <row r="166" spans="2:19" s="31" customFormat="1">
      <c r="B166" s="154"/>
      <c r="S166" s="163"/>
    </row>
    <row r="167" spans="2:19" s="31" customFormat="1">
      <c r="B167" s="154"/>
      <c r="S167" s="163"/>
    </row>
    <row r="168" spans="2:19" s="31" customFormat="1">
      <c r="B168" s="154"/>
      <c r="S168" s="163"/>
    </row>
    <row r="169" spans="2:19" s="31" customFormat="1">
      <c r="B169" s="154"/>
      <c r="S169" s="163"/>
    </row>
    <row r="170" spans="2:19" s="31" customFormat="1">
      <c r="B170" s="154"/>
      <c r="S170" s="163"/>
    </row>
    <row r="171" spans="2:19" s="31" customFormat="1">
      <c r="B171" s="154"/>
      <c r="S171" s="163"/>
    </row>
    <row r="172" spans="2:19" s="31" customFormat="1">
      <c r="B172" s="154"/>
      <c r="S172" s="163"/>
    </row>
    <row r="173" spans="2:19" s="31" customFormat="1">
      <c r="B173" s="154"/>
      <c r="S173" s="163"/>
    </row>
    <row r="174" spans="2:19" s="31" customFormat="1">
      <c r="B174" s="154"/>
      <c r="S174" s="163"/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73" right="0.23622047244094491" top="0.86614173228346458" bottom="0.47244094488188981" header="0.31496062992125984" footer="0.15748031496062992"/>
  <pageSetup paperSize="5" scale="81" orientation="landscape" verticalDpi="0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69"/>
  <sheetViews>
    <sheetView zoomScaleSheetLayoutView="85" workbookViewId="0">
      <selection activeCell="U112" sqref="U112"/>
    </sheetView>
  </sheetViews>
  <sheetFormatPr defaultRowHeight="14.25"/>
  <cols>
    <col min="1" max="1" width="3.7109375" style="186" customWidth="1"/>
    <col min="2" max="2" width="27.28515625" style="307" customWidth="1"/>
    <col min="3" max="3" width="7.140625" style="186" customWidth="1"/>
    <col min="4" max="8" width="10.140625" style="186" customWidth="1"/>
    <col min="9" max="9" width="10" style="186" customWidth="1"/>
    <col min="10" max="15" width="10.140625" style="186" customWidth="1"/>
    <col min="16" max="16" width="10.7109375" style="186" customWidth="1"/>
    <col min="17" max="17" width="11.5703125" style="31" customWidth="1"/>
    <col min="18" max="18" width="11.7109375" style="31" customWidth="1"/>
    <col min="19" max="19" width="12.5703125" style="163" customWidth="1"/>
    <col min="20" max="20" width="14.140625" style="31" customWidth="1"/>
    <col min="21" max="252" width="9.140625" style="31"/>
    <col min="253" max="253" width="3.7109375" style="31" customWidth="1"/>
    <col min="254" max="254" width="30.42578125" style="31" customWidth="1"/>
    <col min="255" max="255" width="7.140625" style="31" customWidth="1"/>
    <col min="256" max="256" width="10.7109375" style="31" customWidth="1"/>
    <col min="257" max="257" width="10.42578125" style="31" customWidth="1"/>
    <col min="258" max="258" width="10.5703125" style="31" customWidth="1"/>
    <col min="259" max="259" width="10.42578125" style="31" customWidth="1"/>
    <col min="260" max="262" width="10.5703125" style="31" customWidth="1"/>
    <col min="263" max="265" width="10.42578125" style="31" customWidth="1"/>
    <col min="266" max="266" width="10.5703125" style="31" customWidth="1"/>
    <col min="267" max="267" width="10.28515625" style="31" customWidth="1"/>
    <col min="268" max="268" width="10.140625" style="31" customWidth="1"/>
    <col min="269" max="269" width="11.7109375" style="31" customWidth="1"/>
    <col min="270" max="270" width="12.42578125" style="31" customWidth="1"/>
    <col min="271" max="271" width="11.7109375" style="31" customWidth="1"/>
    <col min="272" max="272" width="13.140625" style="31" customWidth="1"/>
    <col min="273" max="508" width="9.140625" style="31"/>
    <col min="509" max="509" width="3.7109375" style="31" customWidth="1"/>
    <col min="510" max="510" width="30.42578125" style="31" customWidth="1"/>
    <col min="511" max="511" width="7.140625" style="31" customWidth="1"/>
    <col min="512" max="512" width="10.7109375" style="31" customWidth="1"/>
    <col min="513" max="513" width="10.42578125" style="31" customWidth="1"/>
    <col min="514" max="514" width="10.5703125" style="31" customWidth="1"/>
    <col min="515" max="515" width="10.42578125" style="31" customWidth="1"/>
    <col min="516" max="518" width="10.5703125" style="31" customWidth="1"/>
    <col min="519" max="521" width="10.42578125" style="31" customWidth="1"/>
    <col min="522" max="522" width="10.5703125" style="31" customWidth="1"/>
    <col min="523" max="523" width="10.28515625" style="31" customWidth="1"/>
    <col min="524" max="524" width="10.140625" style="31" customWidth="1"/>
    <col min="525" max="525" width="11.7109375" style="31" customWidth="1"/>
    <col min="526" max="526" width="12.42578125" style="31" customWidth="1"/>
    <col min="527" max="527" width="11.7109375" style="31" customWidth="1"/>
    <col min="528" max="528" width="13.140625" style="31" customWidth="1"/>
    <col min="529" max="764" width="9.140625" style="31"/>
    <col min="765" max="765" width="3.7109375" style="31" customWidth="1"/>
    <col min="766" max="766" width="30.42578125" style="31" customWidth="1"/>
    <col min="767" max="767" width="7.140625" style="31" customWidth="1"/>
    <col min="768" max="768" width="10.7109375" style="31" customWidth="1"/>
    <col min="769" max="769" width="10.42578125" style="31" customWidth="1"/>
    <col min="770" max="770" width="10.5703125" style="31" customWidth="1"/>
    <col min="771" max="771" width="10.42578125" style="31" customWidth="1"/>
    <col min="772" max="774" width="10.5703125" style="31" customWidth="1"/>
    <col min="775" max="777" width="10.42578125" style="31" customWidth="1"/>
    <col min="778" max="778" width="10.5703125" style="31" customWidth="1"/>
    <col min="779" max="779" width="10.28515625" style="31" customWidth="1"/>
    <col min="780" max="780" width="10.140625" style="31" customWidth="1"/>
    <col min="781" max="781" width="11.7109375" style="31" customWidth="1"/>
    <col min="782" max="782" width="12.42578125" style="31" customWidth="1"/>
    <col min="783" max="783" width="11.7109375" style="31" customWidth="1"/>
    <col min="784" max="784" width="13.140625" style="31" customWidth="1"/>
    <col min="785" max="1020" width="9.140625" style="31"/>
    <col min="1021" max="1021" width="3.7109375" style="31" customWidth="1"/>
    <col min="1022" max="1022" width="30.42578125" style="31" customWidth="1"/>
    <col min="1023" max="1023" width="7.140625" style="31" customWidth="1"/>
    <col min="1024" max="1024" width="10.7109375" style="31" customWidth="1"/>
    <col min="1025" max="1025" width="10.42578125" style="31" customWidth="1"/>
    <col min="1026" max="1026" width="10.5703125" style="31" customWidth="1"/>
    <col min="1027" max="1027" width="10.42578125" style="31" customWidth="1"/>
    <col min="1028" max="1030" width="10.5703125" style="31" customWidth="1"/>
    <col min="1031" max="1033" width="10.42578125" style="31" customWidth="1"/>
    <col min="1034" max="1034" width="10.5703125" style="31" customWidth="1"/>
    <col min="1035" max="1035" width="10.28515625" style="31" customWidth="1"/>
    <col min="1036" max="1036" width="10.140625" style="31" customWidth="1"/>
    <col min="1037" max="1037" width="11.7109375" style="31" customWidth="1"/>
    <col min="1038" max="1038" width="12.42578125" style="31" customWidth="1"/>
    <col min="1039" max="1039" width="11.7109375" style="31" customWidth="1"/>
    <col min="1040" max="1040" width="13.140625" style="31" customWidth="1"/>
    <col min="1041" max="1276" width="9.140625" style="31"/>
    <col min="1277" max="1277" width="3.7109375" style="31" customWidth="1"/>
    <col min="1278" max="1278" width="30.42578125" style="31" customWidth="1"/>
    <col min="1279" max="1279" width="7.140625" style="31" customWidth="1"/>
    <col min="1280" max="1280" width="10.7109375" style="31" customWidth="1"/>
    <col min="1281" max="1281" width="10.42578125" style="31" customWidth="1"/>
    <col min="1282" max="1282" width="10.5703125" style="31" customWidth="1"/>
    <col min="1283" max="1283" width="10.42578125" style="31" customWidth="1"/>
    <col min="1284" max="1286" width="10.5703125" style="31" customWidth="1"/>
    <col min="1287" max="1289" width="10.42578125" style="31" customWidth="1"/>
    <col min="1290" max="1290" width="10.5703125" style="31" customWidth="1"/>
    <col min="1291" max="1291" width="10.28515625" style="31" customWidth="1"/>
    <col min="1292" max="1292" width="10.140625" style="31" customWidth="1"/>
    <col min="1293" max="1293" width="11.7109375" style="31" customWidth="1"/>
    <col min="1294" max="1294" width="12.42578125" style="31" customWidth="1"/>
    <col min="1295" max="1295" width="11.7109375" style="31" customWidth="1"/>
    <col min="1296" max="1296" width="13.140625" style="31" customWidth="1"/>
    <col min="1297" max="1532" width="9.140625" style="31"/>
    <col min="1533" max="1533" width="3.7109375" style="31" customWidth="1"/>
    <col min="1534" max="1534" width="30.42578125" style="31" customWidth="1"/>
    <col min="1535" max="1535" width="7.140625" style="31" customWidth="1"/>
    <col min="1536" max="1536" width="10.7109375" style="31" customWidth="1"/>
    <col min="1537" max="1537" width="10.42578125" style="31" customWidth="1"/>
    <col min="1538" max="1538" width="10.5703125" style="31" customWidth="1"/>
    <col min="1539" max="1539" width="10.42578125" style="31" customWidth="1"/>
    <col min="1540" max="1542" width="10.5703125" style="31" customWidth="1"/>
    <col min="1543" max="1545" width="10.42578125" style="31" customWidth="1"/>
    <col min="1546" max="1546" width="10.5703125" style="31" customWidth="1"/>
    <col min="1547" max="1547" width="10.28515625" style="31" customWidth="1"/>
    <col min="1548" max="1548" width="10.140625" style="31" customWidth="1"/>
    <col min="1549" max="1549" width="11.7109375" style="31" customWidth="1"/>
    <col min="1550" max="1550" width="12.42578125" style="31" customWidth="1"/>
    <col min="1551" max="1551" width="11.7109375" style="31" customWidth="1"/>
    <col min="1552" max="1552" width="13.140625" style="31" customWidth="1"/>
    <col min="1553" max="1788" width="9.140625" style="31"/>
    <col min="1789" max="1789" width="3.7109375" style="31" customWidth="1"/>
    <col min="1790" max="1790" width="30.42578125" style="31" customWidth="1"/>
    <col min="1791" max="1791" width="7.140625" style="31" customWidth="1"/>
    <col min="1792" max="1792" width="10.7109375" style="31" customWidth="1"/>
    <col min="1793" max="1793" width="10.42578125" style="31" customWidth="1"/>
    <col min="1794" max="1794" width="10.5703125" style="31" customWidth="1"/>
    <col min="1795" max="1795" width="10.42578125" style="31" customWidth="1"/>
    <col min="1796" max="1798" width="10.5703125" style="31" customWidth="1"/>
    <col min="1799" max="1801" width="10.42578125" style="31" customWidth="1"/>
    <col min="1802" max="1802" width="10.5703125" style="31" customWidth="1"/>
    <col min="1803" max="1803" width="10.28515625" style="31" customWidth="1"/>
    <col min="1804" max="1804" width="10.140625" style="31" customWidth="1"/>
    <col min="1805" max="1805" width="11.7109375" style="31" customWidth="1"/>
    <col min="1806" max="1806" width="12.42578125" style="31" customWidth="1"/>
    <col min="1807" max="1807" width="11.7109375" style="31" customWidth="1"/>
    <col min="1808" max="1808" width="13.140625" style="31" customWidth="1"/>
    <col min="1809" max="2044" width="9.140625" style="31"/>
    <col min="2045" max="2045" width="3.7109375" style="31" customWidth="1"/>
    <col min="2046" max="2046" width="30.42578125" style="31" customWidth="1"/>
    <col min="2047" max="2047" width="7.140625" style="31" customWidth="1"/>
    <col min="2048" max="2048" width="10.7109375" style="31" customWidth="1"/>
    <col min="2049" max="2049" width="10.42578125" style="31" customWidth="1"/>
    <col min="2050" max="2050" width="10.5703125" style="31" customWidth="1"/>
    <col min="2051" max="2051" width="10.42578125" style="31" customWidth="1"/>
    <col min="2052" max="2054" width="10.5703125" style="31" customWidth="1"/>
    <col min="2055" max="2057" width="10.42578125" style="31" customWidth="1"/>
    <col min="2058" max="2058" width="10.5703125" style="31" customWidth="1"/>
    <col min="2059" max="2059" width="10.28515625" style="31" customWidth="1"/>
    <col min="2060" max="2060" width="10.140625" style="31" customWidth="1"/>
    <col min="2061" max="2061" width="11.7109375" style="31" customWidth="1"/>
    <col min="2062" max="2062" width="12.42578125" style="31" customWidth="1"/>
    <col min="2063" max="2063" width="11.7109375" style="31" customWidth="1"/>
    <col min="2064" max="2064" width="13.140625" style="31" customWidth="1"/>
    <col min="2065" max="2300" width="9.140625" style="31"/>
    <col min="2301" max="2301" width="3.7109375" style="31" customWidth="1"/>
    <col min="2302" max="2302" width="30.42578125" style="31" customWidth="1"/>
    <col min="2303" max="2303" width="7.140625" style="31" customWidth="1"/>
    <col min="2304" max="2304" width="10.7109375" style="31" customWidth="1"/>
    <col min="2305" max="2305" width="10.42578125" style="31" customWidth="1"/>
    <col min="2306" max="2306" width="10.5703125" style="31" customWidth="1"/>
    <col min="2307" max="2307" width="10.42578125" style="31" customWidth="1"/>
    <col min="2308" max="2310" width="10.5703125" style="31" customWidth="1"/>
    <col min="2311" max="2313" width="10.42578125" style="31" customWidth="1"/>
    <col min="2314" max="2314" width="10.5703125" style="31" customWidth="1"/>
    <col min="2315" max="2315" width="10.28515625" style="31" customWidth="1"/>
    <col min="2316" max="2316" width="10.140625" style="31" customWidth="1"/>
    <col min="2317" max="2317" width="11.7109375" style="31" customWidth="1"/>
    <col min="2318" max="2318" width="12.42578125" style="31" customWidth="1"/>
    <col min="2319" max="2319" width="11.7109375" style="31" customWidth="1"/>
    <col min="2320" max="2320" width="13.140625" style="31" customWidth="1"/>
    <col min="2321" max="2556" width="9.140625" style="31"/>
    <col min="2557" max="2557" width="3.7109375" style="31" customWidth="1"/>
    <col min="2558" max="2558" width="30.42578125" style="31" customWidth="1"/>
    <col min="2559" max="2559" width="7.140625" style="31" customWidth="1"/>
    <col min="2560" max="2560" width="10.7109375" style="31" customWidth="1"/>
    <col min="2561" max="2561" width="10.42578125" style="31" customWidth="1"/>
    <col min="2562" max="2562" width="10.5703125" style="31" customWidth="1"/>
    <col min="2563" max="2563" width="10.42578125" style="31" customWidth="1"/>
    <col min="2564" max="2566" width="10.5703125" style="31" customWidth="1"/>
    <col min="2567" max="2569" width="10.42578125" style="31" customWidth="1"/>
    <col min="2570" max="2570" width="10.5703125" style="31" customWidth="1"/>
    <col min="2571" max="2571" width="10.28515625" style="31" customWidth="1"/>
    <col min="2572" max="2572" width="10.140625" style="31" customWidth="1"/>
    <col min="2573" max="2573" width="11.7109375" style="31" customWidth="1"/>
    <col min="2574" max="2574" width="12.42578125" style="31" customWidth="1"/>
    <col min="2575" max="2575" width="11.7109375" style="31" customWidth="1"/>
    <col min="2576" max="2576" width="13.140625" style="31" customWidth="1"/>
    <col min="2577" max="2812" width="9.140625" style="31"/>
    <col min="2813" max="2813" width="3.7109375" style="31" customWidth="1"/>
    <col min="2814" max="2814" width="30.42578125" style="31" customWidth="1"/>
    <col min="2815" max="2815" width="7.140625" style="31" customWidth="1"/>
    <col min="2816" max="2816" width="10.7109375" style="31" customWidth="1"/>
    <col min="2817" max="2817" width="10.42578125" style="31" customWidth="1"/>
    <col min="2818" max="2818" width="10.5703125" style="31" customWidth="1"/>
    <col min="2819" max="2819" width="10.42578125" style="31" customWidth="1"/>
    <col min="2820" max="2822" width="10.5703125" style="31" customWidth="1"/>
    <col min="2823" max="2825" width="10.42578125" style="31" customWidth="1"/>
    <col min="2826" max="2826" width="10.5703125" style="31" customWidth="1"/>
    <col min="2827" max="2827" width="10.28515625" style="31" customWidth="1"/>
    <col min="2828" max="2828" width="10.140625" style="31" customWidth="1"/>
    <col min="2829" max="2829" width="11.7109375" style="31" customWidth="1"/>
    <col min="2830" max="2830" width="12.42578125" style="31" customWidth="1"/>
    <col min="2831" max="2831" width="11.7109375" style="31" customWidth="1"/>
    <col min="2832" max="2832" width="13.140625" style="31" customWidth="1"/>
    <col min="2833" max="3068" width="9.140625" style="31"/>
    <col min="3069" max="3069" width="3.7109375" style="31" customWidth="1"/>
    <col min="3070" max="3070" width="30.42578125" style="31" customWidth="1"/>
    <col min="3071" max="3071" width="7.140625" style="31" customWidth="1"/>
    <col min="3072" max="3072" width="10.7109375" style="31" customWidth="1"/>
    <col min="3073" max="3073" width="10.42578125" style="31" customWidth="1"/>
    <col min="3074" max="3074" width="10.5703125" style="31" customWidth="1"/>
    <col min="3075" max="3075" width="10.42578125" style="31" customWidth="1"/>
    <col min="3076" max="3078" width="10.5703125" style="31" customWidth="1"/>
    <col min="3079" max="3081" width="10.42578125" style="31" customWidth="1"/>
    <col min="3082" max="3082" width="10.5703125" style="31" customWidth="1"/>
    <col min="3083" max="3083" width="10.28515625" style="31" customWidth="1"/>
    <col min="3084" max="3084" width="10.140625" style="31" customWidth="1"/>
    <col min="3085" max="3085" width="11.7109375" style="31" customWidth="1"/>
    <col min="3086" max="3086" width="12.42578125" style="31" customWidth="1"/>
    <col min="3087" max="3087" width="11.7109375" style="31" customWidth="1"/>
    <col min="3088" max="3088" width="13.140625" style="31" customWidth="1"/>
    <col min="3089" max="3324" width="9.140625" style="31"/>
    <col min="3325" max="3325" width="3.7109375" style="31" customWidth="1"/>
    <col min="3326" max="3326" width="30.42578125" style="31" customWidth="1"/>
    <col min="3327" max="3327" width="7.140625" style="31" customWidth="1"/>
    <col min="3328" max="3328" width="10.7109375" style="31" customWidth="1"/>
    <col min="3329" max="3329" width="10.42578125" style="31" customWidth="1"/>
    <col min="3330" max="3330" width="10.5703125" style="31" customWidth="1"/>
    <col min="3331" max="3331" width="10.42578125" style="31" customWidth="1"/>
    <col min="3332" max="3334" width="10.5703125" style="31" customWidth="1"/>
    <col min="3335" max="3337" width="10.42578125" style="31" customWidth="1"/>
    <col min="3338" max="3338" width="10.5703125" style="31" customWidth="1"/>
    <col min="3339" max="3339" width="10.28515625" style="31" customWidth="1"/>
    <col min="3340" max="3340" width="10.140625" style="31" customWidth="1"/>
    <col min="3341" max="3341" width="11.7109375" style="31" customWidth="1"/>
    <col min="3342" max="3342" width="12.42578125" style="31" customWidth="1"/>
    <col min="3343" max="3343" width="11.7109375" style="31" customWidth="1"/>
    <col min="3344" max="3344" width="13.140625" style="31" customWidth="1"/>
    <col min="3345" max="3580" width="9.140625" style="31"/>
    <col min="3581" max="3581" width="3.7109375" style="31" customWidth="1"/>
    <col min="3582" max="3582" width="30.42578125" style="31" customWidth="1"/>
    <col min="3583" max="3583" width="7.140625" style="31" customWidth="1"/>
    <col min="3584" max="3584" width="10.7109375" style="31" customWidth="1"/>
    <col min="3585" max="3585" width="10.42578125" style="31" customWidth="1"/>
    <col min="3586" max="3586" width="10.5703125" style="31" customWidth="1"/>
    <col min="3587" max="3587" width="10.42578125" style="31" customWidth="1"/>
    <col min="3588" max="3590" width="10.5703125" style="31" customWidth="1"/>
    <col min="3591" max="3593" width="10.42578125" style="31" customWidth="1"/>
    <col min="3594" max="3594" width="10.5703125" style="31" customWidth="1"/>
    <col min="3595" max="3595" width="10.28515625" style="31" customWidth="1"/>
    <col min="3596" max="3596" width="10.140625" style="31" customWidth="1"/>
    <col min="3597" max="3597" width="11.7109375" style="31" customWidth="1"/>
    <col min="3598" max="3598" width="12.42578125" style="31" customWidth="1"/>
    <col min="3599" max="3599" width="11.7109375" style="31" customWidth="1"/>
    <col min="3600" max="3600" width="13.140625" style="31" customWidth="1"/>
    <col min="3601" max="3836" width="9.140625" style="31"/>
    <col min="3837" max="3837" width="3.7109375" style="31" customWidth="1"/>
    <col min="3838" max="3838" width="30.42578125" style="31" customWidth="1"/>
    <col min="3839" max="3839" width="7.140625" style="31" customWidth="1"/>
    <col min="3840" max="3840" width="10.7109375" style="31" customWidth="1"/>
    <col min="3841" max="3841" width="10.42578125" style="31" customWidth="1"/>
    <col min="3842" max="3842" width="10.5703125" style="31" customWidth="1"/>
    <col min="3843" max="3843" width="10.42578125" style="31" customWidth="1"/>
    <col min="3844" max="3846" width="10.5703125" style="31" customWidth="1"/>
    <col min="3847" max="3849" width="10.42578125" style="31" customWidth="1"/>
    <col min="3850" max="3850" width="10.5703125" style="31" customWidth="1"/>
    <col min="3851" max="3851" width="10.28515625" style="31" customWidth="1"/>
    <col min="3852" max="3852" width="10.140625" style="31" customWidth="1"/>
    <col min="3853" max="3853" width="11.7109375" style="31" customWidth="1"/>
    <col min="3854" max="3854" width="12.42578125" style="31" customWidth="1"/>
    <col min="3855" max="3855" width="11.7109375" style="31" customWidth="1"/>
    <col min="3856" max="3856" width="13.140625" style="31" customWidth="1"/>
    <col min="3857" max="4092" width="9.140625" style="31"/>
    <col min="4093" max="4093" width="3.7109375" style="31" customWidth="1"/>
    <col min="4094" max="4094" width="30.42578125" style="31" customWidth="1"/>
    <col min="4095" max="4095" width="7.140625" style="31" customWidth="1"/>
    <col min="4096" max="4096" width="10.7109375" style="31" customWidth="1"/>
    <col min="4097" max="4097" width="10.42578125" style="31" customWidth="1"/>
    <col min="4098" max="4098" width="10.5703125" style="31" customWidth="1"/>
    <col min="4099" max="4099" width="10.42578125" style="31" customWidth="1"/>
    <col min="4100" max="4102" width="10.5703125" style="31" customWidth="1"/>
    <col min="4103" max="4105" width="10.42578125" style="31" customWidth="1"/>
    <col min="4106" max="4106" width="10.5703125" style="31" customWidth="1"/>
    <col min="4107" max="4107" width="10.28515625" style="31" customWidth="1"/>
    <col min="4108" max="4108" width="10.140625" style="31" customWidth="1"/>
    <col min="4109" max="4109" width="11.7109375" style="31" customWidth="1"/>
    <col min="4110" max="4110" width="12.42578125" style="31" customWidth="1"/>
    <col min="4111" max="4111" width="11.7109375" style="31" customWidth="1"/>
    <col min="4112" max="4112" width="13.140625" style="31" customWidth="1"/>
    <col min="4113" max="4348" width="9.140625" style="31"/>
    <col min="4349" max="4349" width="3.7109375" style="31" customWidth="1"/>
    <col min="4350" max="4350" width="30.42578125" style="31" customWidth="1"/>
    <col min="4351" max="4351" width="7.140625" style="31" customWidth="1"/>
    <col min="4352" max="4352" width="10.7109375" style="31" customWidth="1"/>
    <col min="4353" max="4353" width="10.42578125" style="31" customWidth="1"/>
    <col min="4354" max="4354" width="10.5703125" style="31" customWidth="1"/>
    <col min="4355" max="4355" width="10.42578125" style="31" customWidth="1"/>
    <col min="4356" max="4358" width="10.5703125" style="31" customWidth="1"/>
    <col min="4359" max="4361" width="10.42578125" style="31" customWidth="1"/>
    <col min="4362" max="4362" width="10.5703125" style="31" customWidth="1"/>
    <col min="4363" max="4363" width="10.28515625" style="31" customWidth="1"/>
    <col min="4364" max="4364" width="10.140625" style="31" customWidth="1"/>
    <col min="4365" max="4365" width="11.7109375" style="31" customWidth="1"/>
    <col min="4366" max="4366" width="12.42578125" style="31" customWidth="1"/>
    <col min="4367" max="4367" width="11.7109375" style="31" customWidth="1"/>
    <col min="4368" max="4368" width="13.140625" style="31" customWidth="1"/>
    <col min="4369" max="4604" width="9.140625" style="31"/>
    <col min="4605" max="4605" width="3.7109375" style="31" customWidth="1"/>
    <col min="4606" max="4606" width="30.42578125" style="31" customWidth="1"/>
    <col min="4607" max="4607" width="7.140625" style="31" customWidth="1"/>
    <col min="4608" max="4608" width="10.7109375" style="31" customWidth="1"/>
    <col min="4609" max="4609" width="10.42578125" style="31" customWidth="1"/>
    <col min="4610" max="4610" width="10.5703125" style="31" customWidth="1"/>
    <col min="4611" max="4611" width="10.42578125" style="31" customWidth="1"/>
    <col min="4612" max="4614" width="10.5703125" style="31" customWidth="1"/>
    <col min="4615" max="4617" width="10.42578125" style="31" customWidth="1"/>
    <col min="4618" max="4618" width="10.5703125" style="31" customWidth="1"/>
    <col min="4619" max="4619" width="10.28515625" style="31" customWidth="1"/>
    <col min="4620" max="4620" width="10.140625" style="31" customWidth="1"/>
    <col min="4621" max="4621" width="11.7109375" style="31" customWidth="1"/>
    <col min="4622" max="4622" width="12.42578125" style="31" customWidth="1"/>
    <col min="4623" max="4623" width="11.7109375" style="31" customWidth="1"/>
    <col min="4624" max="4624" width="13.140625" style="31" customWidth="1"/>
    <col min="4625" max="4860" width="9.140625" style="31"/>
    <col min="4861" max="4861" width="3.7109375" style="31" customWidth="1"/>
    <col min="4862" max="4862" width="30.42578125" style="31" customWidth="1"/>
    <col min="4863" max="4863" width="7.140625" style="31" customWidth="1"/>
    <col min="4864" max="4864" width="10.7109375" style="31" customWidth="1"/>
    <col min="4865" max="4865" width="10.42578125" style="31" customWidth="1"/>
    <col min="4866" max="4866" width="10.5703125" style="31" customWidth="1"/>
    <col min="4867" max="4867" width="10.42578125" style="31" customWidth="1"/>
    <col min="4868" max="4870" width="10.5703125" style="31" customWidth="1"/>
    <col min="4871" max="4873" width="10.42578125" style="31" customWidth="1"/>
    <col min="4874" max="4874" width="10.5703125" style="31" customWidth="1"/>
    <col min="4875" max="4875" width="10.28515625" style="31" customWidth="1"/>
    <col min="4876" max="4876" width="10.140625" style="31" customWidth="1"/>
    <col min="4877" max="4877" width="11.7109375" style="31" customWidth="1"/>
    <col min="4878" max="4878" width="12.42578125" style="31" customWidth="1"/>
    <col min="4879" max="4879" width="11.7109375" style="31" customWidth="1"/>
    <col min="4880" max="4880" width="13.140625" style="31" customWidth="1"/>
    <col min="4881" max="5116" width="9.140625" style="31"/>
    <col min="5117" max="5117" width="3.7109375" style="31" customWidth="1"/>
    <col min="5118" max="5118" width="30.42578125" style="31" customWidth="1"/>
    <col min="5119" max="5119" width="7.140625" style="31" customWidth="1"/>
    <col min="5120" max="5120" width="10.7109375" style="31" customWidth="1"/>
    <col min="5121" max="5121" width="10.42578125" style="31" customWidth="1"/>
    <col min="5122" max="5122" width="10.5703125" style="31" customWidth="1"/>
    <col min="5123" max="5123" width="10.42578125" style="31" customWidth="1"/>
    <col min="5124" max="5126" width="10.5703125" style="31" customWidth="1"/>
    <col min="5127" max="5129" width="10.42578125" style="31" customWidth="1"/>
    <col min="5130" max="5130" width="10.5703125" style="31" customWidth="1"/>
    <col min="5131" max="5131" width="10.28515625" style="31" customWidth="1"/>
    <col min="5132" max="5132" width="10.140625" style="31" customWidth="1"/>
    <col min="5133" max="5133" width="11.7109375" style="31" customWidth="1"/>
    <col min="5134" max="5134" width="12.42578125" style="31" customWidth="1"/>
    <col min="5135" max="5135" width="11.7109375" style="31" customWidth="1"/>
    <col min="5136" max="5136" width="13.140625" style="31" customWidth="1"/>
    <col min="5137" max="5372" width="9.140625" style="31"/>
    <col min="5373" max="5373" width="3.7109375" style="31" customWidth="1"/>
    <col min="5374" max="5374" width="30.42578125" style="31" customWidth="1"/>
    <col min="5375" max="5375" width="7.140625" style="31" customWidth="1"/>
    <col min="5376" max="5376" width="10.7109375" style="31" customWidth="1"/>
    <col min="5377" max="5377" width="10.42578125" style="31" customWidth="1"/>
    <col min="5378" max="5378" width="10.5703125" style="31" customWidth="1"/>
    <col min="5379" max="5379" width="10.42578125" style="31" customWidth="1"/>
    <col min="5380" max="5382" width="10.5703125" style="31" customWidth="1"/>
    <col min="5383" max="5385" width="10.42578125" style="31" customWidth="1"/>
    <col min="5386" max="5386" width="10.5703125" style="31" customWidth="1"/>
    <col min="5387" max="5387" width="10.28515625" style="31" customWidth="1"/>
    <col min="5388" max="5388" width="10.140625" style="31" customWidth="1"/>
    <col min="5389" max="5389" width="11.7109375" style="31" customWidth="1"/>
    <col min="5390" max="5390" width="12.42578125" style="31" customWidth="1"/>
    <col min="5391" max="5391" width="11.7109375" style="31" customWidth="1"/>
    <col min="5392" max="5392" width="13.140625" style="31" customWidth="1"/>
    <col min="5393" max="5628" width="9.140625" style="31"/>
    <col min="5629" max="5629" width="3.7109375" style="31" customWidth="1"/>
    <col min="5630" max="5630" width="30.42578125" style="31" customWidth="1"/>
    <col min="5631" max="5631" width="7.140625" style="31" customWidth="1"/>
    <col min="5632" max="5632" width="10.7109375" style="31" customWidth="1"/>
    <col min="5633" max="5633" width="10.42578125" style="31" customWidth="1"/>
    <col min="5634" max="5634" width="10.5703125" style="31" customWidth="1"/>
    <col min="5635" max="5635" width="10.42578125" style="31" customWidth="1"/>
    <col min="5636" max="5638" width="10.5703125" style="31" customWidth="1"/>
    <col min="5639" max="5641" width="10.42578125" style="31" customWidth="1"/>
    <col min="5642" max="5642" width="10.5703125" style="31" customWidth="1"/>
    <col min="5643" max="5643" width="10.28515625" style="31" customWidth="1"/>
    <col min="5644" max="5644" width="10.140625" style="31" customWidth="1"/>
    <col min="5645" max="5645" width="11.7109375" style="31" customWidth="1"/>
    <col min="5646" max="5646" width="12.42578125" style="31" customWidth="1"/>
    <col min="5647" max="5647" width="11.7109375" style="31" customWidth="1"/>
    <col min="5648" max="5648" width="13.140625" style="31" customWidth="1"/>
    <col min="5649" max="5884" width="9.140625" style="31"/>
    <col min="5885" max="5885" width="3.7109375" style="31" customWidth="1"/>
    <col min="5886" max="5886" width="30.42578125" style="31" customWidth="1"/>
    <col min="5887" max="5887" width="7.140625" style="31" customWidth="1"/>
    <col min="5888" max="5888" width="10.7109375" style="31" customWidth="1"/>
    <col min="5889" max="5889" width="10.42578125" style="31" customWidth="1"/>
    <col min="5890" max="5890" width="10.5703125" style="31" customWidth="1"/>
    <col min="5891" max="5891" width="10.42578125" style="31" customWidth="1"/>
    <col min="5892" max="5894" width="10.5703125" style="31" customWidth="1"/>
    <col min="5895" max="5897" width="10.42578125" style="31" customWidth="1"/>
    <col min="5898" max="5898" width="10.5703125" style="31" customWidth="1"/>
    <col min="5899" max="5899" width="10.28515625" style="31" customWidth="1"/>
    <col min="5900" max="5900" width="10.140625" style="31" customWidth="1"/>
    <col min="5901" max="5901" width="11.7109375" style="31" customWidth="1"/>
    <col min="5902" max="5902" width="12.42578125" style="31" customWidth="1"/>
    <col min="5903" max="5903" width="11.7109375" style="31" customWidth="1"/>
    <col min="5904" max="5904" width="13.140625" style="31" customWidth="1"/>
    <col min="5905" max="6140" width="9.140625" style="31"/>
    <col min="6141" max="6141" width="3.7109375" style="31" customWidth="1"/>
    <col min="6142" max="6142" width="30.42578125" style="31" customWidth="1"/>
    <col min="6143" max="6143" width="7.140625" style="31" customWidth="1"/>
    <col min="6144" max="6144" width="10.7109375" style="31" customWidth="1"/>
    <col min="6145" max="6145" width="10.42578125" style="31" customWidth="1"/>
    <col min="6146" max="6146" width="10.5703125" style="31" customWidth="1"/>
    <col min="6147" max="6147" width="10.42578125" style="31" customWidth="1"/>
    <col min="6148" max="6150" width="10.5703125" style="31" customWidth="1"/>
    <col min="6151" max="6153" width="10.42578125" style="31" customWidth="1"/>
    <col min="6154" max="6154" width="10.5703125" style="31" customWidth="1"/>
    <col min="6155" max="6155" width="10.28515625" style="31" customWidth="1"/>
    <col min="6156" max="6156" width="10.140625" style="31" customWidth="1"/>
    <col min="6157" max="6157" width="11.7109375" style="31" customWidth="1"/>
    <col min="6158" max="6158" width="12.42578125" style="31" customWidth="1"/>
    <col min="6159" max="6159" width="11.7109375" style="31" customWidth="1"/>
    <col min="6160" max="6160" width="13.140625" style="31" customWidth="1"/>
    <col min="6161" max="6396" width="9.140625" style="31"/>
    <col min="6397" max="6397" width="3.7109375" style="31" customWidth="1"/>
    <col min="6398" max="6398" width="30.42578125" style="31" customWidth="1"/>
    <col min="6399" max="6399" width="7.140625" style="31" customWidth="1"/>
    <col min="6400" max="6400" width="10.7109375" style="31" customWidth="1"/>
    <col min="6401" max="6401" width="10.42578125" style="31" customWidth="1"/>
    <col min="6402" max="6402" width="10.5703125" style="31" customWidth="1"/>
    <col min="6403" max="6403" width="10.42578125" style="31" customWidth="1"/>
    <col min="6404" max="6406" width="10.5703125" style="31" customWidth="1"/>
    <col min="6407" max="6409" width="10.42578125" style="31" customWidth="1"/>
    <col min="6410" max="6410" width="10.5703125" style="31" customWidth="1"/>
    <col min="6411" max="6411" width="10.28515625" style="31" customWidth="1"/>
    <col min="6412" max="6412" width="10.140625" style="31" customWidth="1"/>
    <col min="6413" max="6413" width="11.7109375" style="31" customWidth="1"/>
    <col min="6414" max="6414" width="12.42578125" style="31" customWidth="1"/>
    <col min="6415" max="6415" width="11.7109375" style="31" customWidth="1"/>
    <col min="6416" max="6416" width="13.140625" style="31" customWidth="1"/>
    <col min="6417" max="6652" width="9.140625" style="31"/>
    <col min="6653" max="6653" width="3.7109375" style="31" customWidth="1"/>
    <col min="6654" max="6654" width="30.42578125" style="31" customWidth="1"/>
    <col min="6655" max="6655" width="7.140625" style="31" customWidth="1"/>
    <col min="6656" max="6656" width="10.7109375" style="31" customWidth="1"/>
    <col min="6657" max="6657" width="10.42578125" style="31" customWidth="1"/>
    <col min="6658" max="6658" width="10.5703125" style="31" customWidth="1"/>
    <col min="6659" max="6659" width="10.42578125" style="31" customWidth="1"/>
    <col min="6660" max="6662" width="10.5703125" style="31" customWidth="1"/>
    <col min="6663" max="6665" width="10.42578125" style="31" customWidth="1"/>
    <col min="6666" max="6666" width="10.5703125" style="31" customWidth="1"/>
    <col min="6667" max="6667" width="10.28515625" style="31" customWidth="1"/>
    <col min="6668" max="6668" width="10.140625" style="31" customWidth="1"/>
    <col min="6669" max="6669" width="11.7109375" style="31" customWidth="1"/>
    <col min="6670" max="6670" width="12.42578125" style="31" customWidth="1"/>
    <col min="6671" max="6671" width="11.7109375" style="31" customWidth="1"/>
    <col min="6672" max="6672" width="13.140625" style="31" customWidth="1"/>
    <col min="6673" max="6908" width="9.140625" style="31"/>
    <col min="6909" max="6909" width="3.7109375" style="31" customWidth="1"/>
    <col min="6910" max="6910" width="30.42578125" style="31" customWidth="1"/>
    <col min="6911" max="6911" width="7.140625" style="31" customWidth="1"/>
    <col min="6912" max="6912" width="10.7109375" style="31" customWidth="1"/>
    <col min="6913" max="6913" width="10.42578125" style="31" customWidth="1"/>
    <col min="6914" max="6914" width="10.5703125" style="31" customWidth="1"/>
    <col min="6915" max="6915" width="10.42578125" style="31" customWidth="1"/>
    <col min="6916" max="6918" width="10.5703125" style="31" customWidth="1"/>
    <col min="6919" max="6921" width="10.42578125" style="31" customWidth="1"/>
    <col min="6922" max="6922" width="10.5703125" style="31" customWidth="1"/>
    <col min="6923" max="6923" width="10.28515625" style="31" customWidth="1"/>
    <col min="6924" max="6924" width="10.140625" style="31" customWidth="1"/>
    <col min="6925" max="6925" width="11.7109375" style="31" customWidth="1"/>
    <col min="6926" max="6926" width="12.42578125" style="31" customWidth="1"/>
    <col min="6927" max="6927" width="11.7109375" style="31" customWidth="1"/>
    <col min="6928" max="6928" width="13.140625" style="31" customWidth="1"/>
    <col min="6929" max="7164" width="9.140625" style="31"/>
    <col min="7165" max="7165" width="3.7109375" style="31" customWidth="1"/>
    <col min="7166" max="7166" width="30.42578125" style="31" customWidth="1"/>
    <col min="7167" max="7167" width="7.140625" style="31" customWidth="1"/>
    <col min="7168" max="7168" width="10.7109375" style="31" customWidth="1"/>
    <col min="7169" max="7169" width="10.42578125" style="31" customWidth="1"/>
    <col min="7170" max="7170" width="10.5703125" style="31" customWidth="1"/>
    <col min="7171" max="7171" width="10.42578125" style="31" customWidth="1"/>
    <col min="7172" max="7174" width="10.5703125" style="31" customWidth="1"/>
    <col min="7175" max="7177" width="10.42578125" style="31" customWidth="1"/>
    <col min="7178" max="7178" width="10.5703125" style="31" customWidth="1"/>
    <col min="7179" max="7179" width="10.28515625" style="31" customWidth="1"/>
    <col min="7180" max="7180" width="10.140625" style="31" customWidth="1"/>
    <col min="7181" max="7181" width="11.7109375" style="31" customWidth="1"/>
    <col min="7182" max="7182" width="12.42578125" style="31" customWidth="1"/>
    <col min="7183" max="7183" width="11.7109375" style="31" customWidth="1"/>
    <col min="7184" max="7184" width="13.140625" style="31" customWidth="1"/>
    <col min="7185" max="7420" width="9.140625" style="31"/>
    <col min="7421" max="7421" width="3.7109375" style="31" customWidth="1"/>
    <col min="7422" max="7422" width="30.42578125" style="31" customWidth="1"/>
    <col min="7423" max="7423" width="7.140625" style="31" customWidth="1"/>
    <col min="7424" max="7424" width="10.7109375" style="31" customWidth="1"/>
    <col min="7425" max="7425" width="10.42578125" style="31" customWidth="1"/>
    <col min="7426" max="7426" width="10.5703125" style="31" customWidth="1"/>
    <col min="7427" max="7427" width="10.42578125" style="31" customWidth="1"/>
    <col min="7428" max="7430" width="10.5703125" style="31" customWidth="1"/>
    <col min="7431" max="7433" width="10.42578125" style="31" customWidth="1"/>
    <col min="7434" max="7434" width="10.5703125" style="31" customWidth="1"/>
    <col min="7435" max="7435" width="10.28515625" style="31" customWidth="1"/>
    <col min="7436" max="7436" width="10.140625" style="31" customWidth="1"/>
    <col min="7437" max="7437" width="11.7109375" style="31" customWidth="1"/>
    <col min="7438" max="7438" width="12.42578125" style="31" customWidth="1"/>
    <col min="7439" max="7439" width="11.7109375" style="31" customWidth="1"/>
    <col min="7440" max="7440" width="13.140625" style="31" customWidth="1"/>
    <col min="7441" max="7676" width="9.140625" style="31"/>
    <col min="7677" max="7677" width="3.7109375" style="31" customWidth="1"/>
    <col min="7678" max="7678" width="30.42578125" style="31" customWidth="1"/>
    <col min="7679" max="7679" width="7.140625" style="31" customWidth="1"/>
    <col min="7680" max="7680" width="10.7109375" style="31" customWidth="1"/>
    <col min="7681" max="7681" width="10.42578125" style="31" customWidth="1"/>
    <col min="7682" max="7682" width="10.5703125" style="31" customWidth="1"/>
    <col min="7683" max="7683" width="10.42578125" style="31" customWidth="1"/>
    <col min="7684" max="7686" width="10.5703125" style="31" customWidth="1"/>
    <col min="7687" max="7689" width="10.42578125" style="31" customWidth="1"/>
    <col min="7690" max="7690" width="10.5703125" style="31" customWidth="1"/>
    <col min="7691" max="7691" width="10.28515625" style="31" customWidth="1"/>
    <col min="7692" max="7692" width="10.140625" style="31" customWidth="1"/>
    <col min="7693" max="7693" width="11.7109375" style="31" customWidth="1"/>
    <col min="7694" max="7694" width="12.42578125" style="31" customWidth="1"/>
    <col min="7695" max="7695" width="11.7109375" style="31" customWidth="1"/>
    <col min="7696" max="7696" width="13.140625" style="31" customWidth="1"/>
    <col min="7697" max="7932" width="9.140625" style="31"/>
    <col min="7933" max="7933" width="3.7109375" style="31" customWidth="1"/>
    <col min="7934" max="7934" width="30.42578125" style="31" customWidth="1"/>
    <col min="7935" max="7935" width="7.140625" style="31" customWidth="1"/>
    <col min="7936" max="7936" width="10.7109375" style="31" customWidth="1"/>
    <col min="7937" max="7937" width="10.42578125" style="31" customWidth="1"/>
    <col min="7938" max="7938" width="10.5703125" style="31" customWidth="1"/>
    <col min="7939" max="7939" width="10.42578125" style="31" customWidth="1"/>
    <col min="7940" max="7942" width="10.5703125" style="31" customWidth="1"/>
    <col min="7943" max="7945" width="10.42578125" style="31" customWidth="1"/>
    <col min="7946" max="7946" width="10.5703125" style="31" customWidth="1"/>
    <col min="7947" max="7947" width="10.28515625" style="31" customWidth="1"/>
    <col min="7948" max="7948" width="10.140625" style="31" customWidth="1"/>
    <col min="7949" max="7949" width="11.7109375" style="31" customWidth="1"/>
    <col min="7950" max="7950" width="12.42578125" style="31" customWidth="1"/>
    <col min="7951" max="7951" width="11.7109375" style="31" customWidth="1"/>
    <col min="7952" max="7952" width="13.140625" style="31" customWidth="1"/>
    <col min="7953" max="8188" width="9.140625" style="31"/>
    <col min="8189" max="8189" width="3.7109375" style="31" customWidth="1"/>
    <col min="8190" max="8190" width="30.42578125" style="31" customWidth="1"/>
    <col min="8191" max="8191" width="7.140625" style="31" customWidth="1"/>
    <col min="8192" max="8192" width="10.7109375" style="31" customWidth="1"/>
    <col min="8193" max="8193" width="10.42578125" style="31" customWidth="1"/>
    <col min="8194" max="8194" width="10.5703125" style="31" customWidth="1"/>
    <col min="8195" max="8195" width="10.42578125" style="31" customWidth="1"/>
    <col min="8196" max="8198" width="10.5703125" style="31" customWidth="1"/>
    <col min="8199" max="8201" width="10.42578125" style="31" customWidth="1"/>
    <col min="8202" max="8202" width="10.5703125" style="31" customWidth="1"/>
    <col min="8203" max="8203" width="10.28515625" style="31" customWidth="1"/>
    <col min="8204" max="8204" width="10.140625" style="31" customWidth="1"/>
    <col min="8205" max="8205" width="11.7109375" style="31" customWidth="1"/>
    <col min="8206" max="8206" width="12.42578125" style="31" customWidth="1"/>
    <col min="8207" max="8207" width="11.7109375" style="31" customWidth="1"/>
    <col min="8208" max="8208" width="13.140625" style="31" customWidth="1"/>
    <col min="8209" max="8444" width="9.140625" style="31"/>
    <col min="8445" max="8445" width="3.7109375" style="31" customWidth="1"/>
    <col min="8446" max="8446" width="30.42578125" style="31" customWidth="1"/>
    <col min="8447" max="8447" width="7.140625" style="31" customWidth="1"/>
    <col min="8448" max="8448" width="10.7109375" style="31" customWidth="1"/>
    <col min="8449" max="8449" width="10.42578125" style="31" customWidth="1"/>
    <col min="8450" max="8450" width="10.5703125" style="31" customWidth="1"/>
    <col min="8451" max="8451" width="10.42578125" style="31" customWidth="1"/>
    <col min="8452" max="8454" width="10.5703125" style="31" customWidth="1"/>
    <col min="8455" max="8457" width="10.42578125" style="31" customWidth="1"/>
    <col min="8458" max="8458" width="10.5703125" style="31" customWidth="1"/>
    <col min="8459" max="8459" width="10.28515625" style="31" customWidth="1"/>
    <col min="8460" max="8460" width="10.140625" style="31" customWidth="1"/>
    <col min="8461" max="8461" width="11.7109375" style="31" customWidth="1"/>
    <col min="8462" max="8462" width="12.42578125" style="31" customWidth="1"/>
    <col min="8463" max="8463" width="11.7109375" style="31" customWidth="1"/>
    <col min="8464" max="8464" width="13.140625" style="31" customWidth="1"/>
    <col min="8465" max="8700" width="9.140625" style="31"/>
    <col min="8701" max="8701" width="3.7109375" style="31" customWidth="1"/>
    <col min="8702" max="8702" width="30.42578125" style="31" customWidth="1"/>
    <col min="8703" max="8703" width="7.140625" style="31" customWidth="1"/>
    <col min="8704" max="8704" width="10.7109375" style="31" customWidth="1"/>
    <col min="8705" max="8705" width="10.42578125" style="31" customWidth="1"/>
    <col min="8706" max="8706" width="10.5703125" style="31" customWidth="1"/>
    <col min="8707" max="8707" width="10.42578125" style="31" customWidth="1"/>
    <col min="8708" max="8710" width="10.5703125" style="31" customWidth="1"/>
    <col min="8711" max="8713" width="10.42578125" style="31" customWidth="1"/>
    <col min="8714" max="8714" width="10.5703125" style="31" customWidth="1"/>
    <col min="8715" max="8715" width="10.28515625" style="31" customWidth="1"/>
    <col min="8716" max="8716" width="10.140625" style="31" customWidth="1"/>
    <col min="8717" max="8717" width="11.7109375" style="31" customWidth="1"/>
    <col min="8718" max="8718" width="12.42578125" style="31" customWidth="1"/>
    <col min="8719" max="8719" width="11.7109375" style="31" customWidth="1"/>
    <col min="8720" max="8720" width="13.140625" style="31" customWidth="1"/>
    <col min="8721" max="8956" width="9.140625" style="31"/>
    <col min="8957" max="8957" width="3.7109375" style="31" customWidth="1"/>
    <col min="8958" max="8958" width="30.42578125" style="31" customWidth="1"/>
    <col min="8959" max="8959" width="7.140625" style="31" customWidth="1"/>
    <col min="8960" max="8960" width="10.7109375" style="31" customWidth="1"/>
    <col min="8961" max="8961" width="10.42578125" style="31" customWidth="1"/>
    <col min="8962" max="8962" width="10.5703125" style="31" customWidth="1"/>
    <col min="8963" max="8963" width="10.42578125" style="31" customWidth="1"/>
    <col min="8964" max="8966" width="10.5703125" style="31" customWidth="1"/>
    <col min="8967" max="8969" width="10.42578125" style="31" customWidth="1"/>
    <col min="8970" max="8970" width="10.5703125" style="31" customWidth="1"/>
    <col min="8971" max="8971" width="10.28515625" style="31" customWidth="1"/>
    <col min="8972" max="8972" width="10.140625" style="31" customWidth="1"/>
    <col min="8973" max="8973" width="11.7109375" style="31" customWidth="1"/>
    <col min="8974" max="8974" width="12.42578125" style="31" customWidth="1"/>
    <col min="8975" max="8975" width="11.7109375" style="31" customWidth="1"/>
    <col min="8976" max="8976" width="13.140625" style="31" customWidth="1"/>
    <col min="8977" max="9212" width="9.140625" style="31"/>
    <col min="9213" max="9213" width="3.7109375" style="31" customWidth="1"/>
    <col min="9214" max="9214" width="30.42578125" style="31" customWidth="1"/>
    <col min="9215" max="9215" width="7.140625" style="31" customWidth="1"/>
    <col min="9216" max="9216" width="10.7109375" style="31" customWidth="1"/>
    <col min="9217" max="9217" width="10.42578125" style="31" customWidth="1"/>
    <col min="9218" max="9218" width="10.5703125" style="31" customWidth="1"/>
    <col min="9219" max="9219" width="10.42578125" style="31" customWidth="1"/>
    <col min="9220" max="9222" width="10.5703125" style="31" customWidth="1"/>
    <col min="9223" max="9225" width="10.42578125" style="31" customWidth="1"/>
    <col min="9226" max="9226" width="10.5703125" style="31" customWidth="1"/>
    <col min="9227" max="9227" width="10.28515625" style="31" customWidth="1"/>
    <col min="9228" max="9228" width="10.140625" style="31" customWidth="1"/>
    <col min="9229" max="9229" width="11.7109375" style="31" customWidth="1"/>
    <col min="9230" max="9230" width="12.42578125" style="31" customWidth="1"/>
    <col min="9231" max="9231" width="11.7109375" style="31" customWidth="1"/>
    <col min="9232" max="9232" width="13.140625" style="31" customWidth="1"/>
    <col min="9233" max="9468" width="9.140625" style="31"/>
    <col min="9469" max="9469" width="3.7109375" style="31" customWidth="1"/>
    <col min="9470" max="9470" width="30.42578125" style="31" customWidth="1"/>
    <col min="9471" max="9471" width="7.140625" style="31" customWidth="1"/>
    <col min="9472" max="9472" width="10.7109375" style="31" customWidth="1"/>
    <col min="9473" max="9473" width="10.42578125" style="31" customWidth="1"/>
    <col min="9474" max="9474" width="10.5703125" style="31" customWidth="1"/>
    <col min="9475" max="9475" width="10.42578125" style="31" customWidth="1"/>
    <col min="9476" max="9478" width="10.5703125" style="31" customWidth="1"/>
    <col min="9479" max="9481" width="10.42578125" style="31" customWidth="1"/>
    <col min="9482" max="9482" width="10.5703125" style="31" customWidth="1"/>
    <col min="9483" max="9483" width="10.28515625" style="31" customWidth="1"/>
    <col min="9484" max="9484" width="10.140625" style="31" customWidth="1"/>
    <col min="9485" max="9485" width="11.7109375" style="31" customWidth="1"/>
    <col min="9486" max="9486" width="12.42578125" style="31" customWidth="1"/>
    <col min="9487" max="9487" width="11.7109375" style="31" customWidth="1"/>
    <col min="9488" max="9488" width="13.140625" style="31" customWidth="1"/>
    <col min="9489" max="9724" width="9.140625" style="31"/>
    <col min="9725" max="9725" width="3.7109375" style="31" customWidth="1"/>
    <col min="9726" max="9726" width="30.42578125" style="31" customWidth="1"/>
    <col min="9727" max="9727" width="7.140625" style="31" customWidth="1"/>
    <col min="9728" max="9728" width="10.7109375" style="31" customWidth="1"/>
    <col min="9729" max="9729" width="10.42578125" style="31" customWidth="1"/>
    <col min="9730" max="9730" width="10.5703125" style="31" customWidth="1"/>
    <col min="9731" max="9731" width="10.42578125" style="31" customWidth="1"/>
    <col min="9732" max="9734" width="10.5703125" style="31" customWidth="1"/>
    <col min="9735" max="9737" width="10.42578125" style="31" customWidth="1"/>
    <col min="9738" max="9738" width="10.5703125" style="31" customWidth="1"/>
    <col min="9739" max="9739" width="10.28515625" style="31" customWidth="1"/>
    <col min="9740" max="9740" width="10.140625" style="31" customWidth="1"/>
    <col min="9741" max="9741" width="11.7109375" style="31" customWidth="1"/>
    <col min="9742" max="9742" width="12.42578125" style="31" customWidth="1"/>
    <col min="9743" max="9743" width="11.7109375" style="31" customWidth="1"/>
    <col min="9744" max="9744" width="13.140625" style="31" customWidth="1"/>
    <col min="9745" max="9980" width="9.140625" style="31"/>
    <col min="9981" max="9981" width="3.7109375" style="31" customWidth="1"/>
    <col min="9982" max="9982" width="30.42578125" style="31" customWidth="1"/>
    <col min="9983" max="9983" width="7.140625" style="31" customWidth="1"/>
    <col min="9984" max="9984" width="10.7109375" style="31" customWidth="1"/>
    <col min="9985" max="9985" width="10.42578125" style="31" customWidth="1"/>
    <col min="9986" max="9986" width="10.5703125" style="31" customWidth="1"/>
    <col min="9987" max="9987" width="10.42578125" style="31" customWidth="1"/>
    <col min="9988" max="9990" width="10.5703125" style="31" customWidth="1"/>
    <col min="9991" max="9993" width="10.42578125" style="31" customWidth="1"/>
    <col min="9994" max="9994" width="10.5703125" style="31" customWidth="1"/>
    <col min="9995" max="9995" width="10.28515625" style="31" customWidth="1"/>
    <col min="9996" max="9996" width="10.140625" style="31" customWidth="1"/>
    <col min="9997" max="9997" width="11.7109375" style="31" customWidth="1"/>
    <col min="9998" max="9998" width="12.42578125" style="31" customWidth="1"/>
    <col min="9999" max="9999" width="11.7109375" style="31" customWidth="1"/>
    <col min="10000" max="10000" width="13.140625" style="31" customWidth="1"/>
    <col min="10001" max="10236" width="9.140625" style="31"/>
    <col min="10237" max="10237" width="3.7109375" style="31" customWidth="1"/>
    <col min="10238" max="10238" width="30.42578125" style="31" customWidth="1"/>
    <col min="10239" max="10239" width="7.140625" style="31" customWidth="1"/>
    <col min="10240" max="10240" width="10.7109375" style="31" customWidth="1"/>
    <col min="10241" max="10241" width="10.42578125" style="31" customWidth="1"/>
    <col min="10242" max="10242" width="10.5703125" style="31" customWidth="1"/>
    <col min="10243" max="10243" width="10.42578125" style="31" customWidth="1"/>
    <col min="10244" max="10246" width="10.5703125" style="31" customWidth="1"/>
    <col min="10247" max="10249" width="10.42578125" style="31" customWidth="1"/>
    <col min="10250" max="10250" width="10.5703125" style="31" customWidth="1"/>
    <col min="10251" max="10251" width="10.28515625" style="31" customWidth="1"/>
    <col min="10252" max="10252" width="10.140625" style="31" customWidth="1"/>
    <col min="10253" max="10253" width="11.7109375" style="31" customWidth="1"/>
    <col min="10254" max="10254" width="12.42578125" style="31" customWidth="1"/>
    <col min="10255" max="10255" width="11.7109375" style="31" customWidth="1"/>
    <col min="10256" max="10256" width="13.140625" style="31" customWidth="1"/>
    <col min="10257" max="10492" width="9.140625" style="31"/>
    <col min="10493" max="10493" width="3.7109375" style="31" customWidth="1"/>
    <col min="10494" max="10494" width="30.42578125" style="31" customWidth="1"/>
    <col min="10495" max="10495" width="7.140625" style="31" customWidth="1"/>
    <col min="10496" max="10496" width="10.7109375" style="31" customWidth="1"/>
    <col min="10497" max="10497" width="10.42578125" style="31" customWidth="1"/>
    <col min="10498" max="10498" width="10.5703125" style="31" customWidth="1"/>
    <col min="10499" max="10499" width="10.42578125" style="31" customWidth="1"/>
    <col min="10500" max="10502" width="10.5703125" style="31" customWidth="1"/>
    <col min="10503" max="10505" width="10.42578125" style="31" customWidth="1"/>
    <col min="10506" max="10506" width="10.5703125" style="31" customWidth="1"/>
    <col min="10507" max="10507" width="10.28515625" style="31" customWidth="1"/>
    <col min="10508" max="10508" width="10.140625" style="31" customWidth="1"/>
    <col min="10509" max="10509" width="11.7109375" style="31" customWidth="1"/>
    <col min="10510" max="10510" width="12.42578125" style="31" customWidth="1"/>
    <col min="10511" max="10511" width="11.7109375" style="31" customWidth="1"/>
    <col min="10512" max="10512" width="13.140625" style="31" customWidth="1"/>
    <col min="10513" max="10748" width="9.140625" style="31"/>
    <col min="10749" max="10749" width="3.7109375" style="31" customWidth="1"/>
    <col min="10750" max="10750" width="30.42578125" style="31" customWidth="1"/>
    <col min="10751" max="10751" width="7.140625" style="31" customWidth="1"/>
    <col min="10752" max="10752" width="10.7109375" style="31" customWidth="1"/>
    <col min="10753" max="10753" width="10.42578125" style="31" customWidth="1"/>
    <col min="10754" max="10754" width="10.5703125" style="31" customWidth="1"/>
    <col min="10755" max="10755" width="10.42578125" style="31" customWidth="1"/>
    <col min="10756" max="10758" width="10.5703125" style="31" customWidth="1"/>
    <col min="10759" max="10761" width="10.42578125" style="31" customWidth="1"/>
    <col min="10762" max="10762" width="10.5703125" style="31" customWidth="1"/>
    <col min="10763" max="10763" width="10.28515625" style="31" customWidth="1"/>
    <col min="10764" max="10764" width="10.140625" style="31" customWidth="1"/>
    <col min="10765" max="10765" width="11.7109375" style="31" customWidth="1"/>
    <col min="10766" max="10766" width="12.42578125" style="31" customWidth="1"/>
    <col min="10767" max="10767" width="11.7109375" style="31" customWidth="1"/>
    <col min="10768" max="10768" width="13.140625" style="31" customWidth="1"/>
    <col min="10769" max="11004" width="9.140625" style="31"/>
    <col min="11005" max="11005" width="3.7109375" style="31" customWidth="1"/>
    <col min="11006" max="11006" width="30.42578125" style="31" customWidth="1"/>
    <col min="11007" max="11007" width="7.140625" style="31" customWidth="1"/>
    <col min="11008" max="11008" width="10.7109375" style="31" customWidth="1"/>
    <col min="11009" max="11009" width="10.42578125" style="31" customWidth="1"/>
    <col min="11010" max="11010" width="10.5703125" style="31" customWidth="1"/>
    <col min="11011" max="11011" width="10.42578125" style="31" customWidth="1"/>
    <col min="11012" max="11014" width="10.5703125" style="31" customWidth="1"/>
    <col min="11015" max="11017" width="10.42578125" style="31" customWidth="1"/>
    <col min="11018" max="11018" width="10.5703125" style="31" customWidth="1"/>
    <col min="11019" max="11019" width="10.28515625" style="31" customWidth="1"/>
    <col min="11020" max="11020" width="10.140625" style="31" customWidth="1"/>
    <col min="11021" max="11021" width="11.7109375" style="31" customWidth="1"/>
    <col min="11022" max="11022" width="12.42578125" style="31" customWidth="1"/>
    <col min="11023" max="11023" width="11.7109375" style="31" customWidth="1"/>
    <col min="11024" max="11024" width="13.140625" style="31" customWidth="1"/>
    <col min="11025" max="11260" width="9.140625" style="31"/>
    <col min="11261" max="11261" width="3.7109375" style="31" customWidth="1"/>
    <col min="11262" max="11262" width="30.42578125" style="31" customWidth="1"/>
    <col min="11263" max="11263" width="7.140625" style="31" customWidth="1"/>
    <col min="11264" max="11264" width="10.7109375" style="31" customWidth="1"/>
    <col min="11265" max="11265" width="10.42578125" style="31" customWidth="1"/>
    <col min="11266" max="11266" width="10.5703125" style="31" customWidth="1"/>
    <col min="11267" max="11267" width="10.42578125" style="31" customWidth="1"/>
    <col min="11268" max="11270" width="10.5703125" style="31" customWidth="1"/>
    <col min="11271" max="11273" width="10.42578125" style="31" customWidth="1"/>
    <col min="11274" max="11274" width="10.5703125" style="31" customWidth="1"/>
    <col min="11275" max="11275" width="10.28515625" style="31" customWidth="1"/>
    <col min="11276" max="11276" width="10.140625" style="31" customWidth="1"/>
    <col min="11277" max="11277" width="11.7109375" style="31" customWidth="1"/>
    <col min="11278" max="11278" width="12.42578125" style="31" customWidth="1"/>
    <col min="11279" max="11279" width="11.7109375" style="31" customWidth="1"/>
    <col min="11280" max="11280" width="13.140625" style="31" customWidth="1"/>
    <col min="11281" max="11516" width="9.140625" style="31"/>
    <col min="11517" max="11517" width="3.7109375" style="31" customWidth="1"/>
    <col min="11518" max="11518" width="30.42578125" style="31" customWidth="1"/>
    <col min="11519" max="11519" width="7.140625" style="31" customWidth="1"/>
    <col min="11520" max="11520" width="10.7109375" style="31" customWidth="1"/>
    <col min="11521" max="11521" width="10.42578125" style="31" customWidth="1"/>
    <col min="11522" max="11522" width="10.5703125" style="31" customWidth="1"/>
    <col min="11523" max="11523" width="10.42578125" style="31" customWidth="1"/>
    <col min="11524" max="11526" width="10.5703125" style="31" customWidth="1"/>
    <col min="11527" max="11529" width="10.42578125" style="31" customWidth="1"/>
    <col min="11530" max="11530" width="10.5703125" style="31" customWidth="1"/>
    <col min="11531" max="11531" width="10.28515625" style="31" customWidth="1"/>
    <col min="11532" max="11532" width="10.140625" style="31" customWidth="1"/>
    <col min="11533" max="11533" width="11.7109375" style="31" customWidth="1"/>
    <col min="11534" max="11534" width="12.42578125" style="31" customWidth="1"/>
    <col min="11535" max="11535" width="11.7109375" style="31" customWidth="1"/>
    <col min="11536" max="11536" width="13.140625" style="31" customWidth="1"/>
    <col min="11537" max="11772" width="9.140625" style="31"/>
    <col min="11773" max="11773" width="3.7109375" style="31" customWidth="1"/>
    <col min="11774" max="11774" width="30.42578125" style="31" customWidth="1"/>
    <col min="11775" max="11775" width="7.140625" style="31" customWidth="1"/>
    <col min="11776" max="11776" width="10.7109375" style="31" customWidth="1"/>
    <col min="11777" max="11777" width="10.42578125" style="31" customWidth="1"/>
    <col min="11778" max="11778" width="10.5703125" style="31" customWidth="1"/>
    <col min="11779" max="11779" width="10.42578125" style="31" customWidth="1"/>
    <col min="11780" max="11782" width="10.5703125" style="31" customWidth="1"/>
    <col min="11783" max="11785" width="10.42578125" style="31" customWidth="1"/>
    <col min="11786" max="11786" width="10.5703125" style="31" customWidth="1"/>
    <col min="11787" max="11787" width="10.28515625" style="31" customWidth="1"/>
    <col min="11788" max="11788" width="10.140625" style="31" customWidth="1"/>
    <col min="11789" max="11789" width="11.7109375" style="31" customWidth="1"/>
    <col min="11790" max="11790" width="12.42578125" style="31" customWidth="1"/>
    <col min="11791" max="11791" width="11.7109375" style="31" customWidth="1"/>
    <col min="11792" max="11792" width="13.140625" style="31" customWidth="1"/>
    <col min="11793" max="12028" width="9.140625" style="31"/>
    <col min="12029" max="12029" width="3.7109375" style="31" customWidth="1"/>
    <col min="12030" max="12030" width="30.42578125" style="31" customWidth="1"/>
    <col min="12031" max="12031" width="7.140625" style="31" customWidth="1"/>
    <col min="12032" max="12032" width="10.7109375" style="31" customWidth="1"/>
    <col min="12033" max="12033" width="10.42578125" style="31" customWidth="1"/>
    <col min="12034" max="12034" width="10.5703125" style="31" customWidth="1"/>
    <col min="12035" max="12035" width="10.42578125" style="31" customWidth="1"/>
    <col min="12036" max="12038" width="10.5703125" style="31" customWidth="1"/>
    <col min="12039" max="12041" width="10.42578125" style="31" customWidth="1"/>
    <col min="12042" max="12042" width="10.5703125" style="31" customWidth="1"/>
    <col min="12043" max="12043" width="10.28515625" style="31" customWidth="1"/>
    <col min="12044" max="12044" width="10.140625" style="31" customWidth="1"/>
    <col min="12045" max="12045" width="11.7109375" style="31" customWidth="1"/>
    <col min="12046" max="12046" width="12.42578125" style="31" customWidth="1"/>
    <col min="12047" max="12047" width="11.7109375" style="31" customWidth="1"/>
    <col min="12048" max="12048" width="13.140625" style="31" customWidth="1"/>
    <col min="12049" max="12284" width="9.140625" style="31"/>
    <col min="12285" max="12285" width="3.7109375" style="31" customWidth="1"/>
    <col min="12286" max="12286" width="30.42578125" style="31" customWidth="1"/>
    <col min="12287" max="12287" width="7.140625" style="31" customWidth="1"/>
    <col min="12288" max="12288" width="10.7109375" style="31" customWidth="1"/>
    <col min="12289" max="12289" width="10.42578125" style="31" customWidth="1"/>
    <col min="12290" max="12290" width="10.5703125" style="31" customWidth="1"/>
    <col min="12291" max="12291" width="10.42578125" style="31" customWidth="1"/>
    <col min="12292" max="12294" width="10.5703125" style="31" customWidth="1"/>
    <col min="12295" max="12297" width="10.42578125" style="31" customWidth="1"/>
    <col min="12298" max="12298" width="10.5703125" style="31" customWidth="1"/>
    <col min="12299" max="12299" width="10.28515625" style="31" customWidth="1"/>
    <col min="12300" max="12300" width="10.140625" style="31" customWidth="1"/>
    <col min="12301" max="12301" width="11.7109375" style="31" customWidth="1"/>
    <col min="12302" max="12302" width="12.42578125" style="31" customWidth="1"/>
    <col min="12303" max="12303" width="11.7109375" style="31" customWidth="1"/>
    <col min="12304" max="12304" width="13.140625" style="31" customWidth="1"/>
    <col min="12305" max="12540" width="9.140625" style="31"/>
    <col min="12541" max="12541" width="3.7109375" style="31" customWidth="1"/>
    <col min="12542" max="12542" width="30.42578125" style="31" customWidth="1"/>
    <col min="12543" max="12543" width="7.140625" style="31" customWidth="1"/>
    <col min="12544" max="12544" width="10.7109375" style="31" customWidth="1"/>
    <col min="12545" max="12545" width="10.42578125" style="31" customWidth="1"/>
    <col min="12546" max="12546" width="10.5703125" style="31" customWidth="1"/>
    <col min="12547" max="12547" width="10.42578125" style="31" customWidth="1"/>
    <col min="12548" max="12550" width="10.5703125" style="31" customWidth="1"/>
    <col min="12551" max="12553" width="10.42578125" style="31" customWidth="1"/>
    <col min="12554" max="12554" width="10.5703125" style="31" customWidth="1"/>
    <col min="12555" max="12555" width="10.28515625" style="31" customWidth="1"/>
    <col min="12556" max="12556" width="10.140625" style="31" customWidth="1"/>
    <col min="12557" max="12557" width="11.7109375" style="31" customWidth="1"/>
    <col min="12558" max="12558" width="12.42578125" style="31" customWidth="1"/>
    <col min="12559" max="12559" width="11.7109375" style="31" customWidth="1"/>
    <col min="12560" max="12560" width="13.140625" style="31" customWidth="1"/>
    <col min="12561" max="12796" width="9.140625" style="31"/>
    <col min="12797" max="12797" width="3.7109375" style="31" customWidth="1"/>
    <col min="12798" max="12798" width="30.42578125" style="31" customWidth="1"/>
    <col min="12799" max="12799" width="7.140625" style="31" customWidth="1"/>
    <col min="12800" max="12800" width="10.7109375" style="31" customWidth="1"/>
    <col min="12801" max="12801" width="10.42578125" style="31" customWidth="1"/>
    <col min="12802" max="12802" width="10.5703125" style="31" customWidth="1"/>
    <col min="12803" max="12803" width="10.42578125" style="31" customWidth="1"/>
    <col min="12804" max="12806" width="10.5703125" style="31" customWidth="1"/>
    <col min="12807" max="12809" width="10.42578125" style="31" customWidth="1"/>
    <col min="12810" max="12810" width="10.5703125" style="31" customWidth="1"/>
    <col min="12811" max="12811" width="10.28515625" style="31" customWidth="1"/>
    <col min="12812" max="12812" width="10.140625" style="31" customWidth="1"/>
    <col min="12813" max="12813" width="11.7109375" style="31" customWidth="1"/>
    <col min="12814" max="12814" width="12.42578125" style="31" customWidth="1"/>
    <col min="12815" max="12815" width="11.7109375" style="31" customWidth="1"/>
    <col min="12816" max="12816" width="13.140625" style="31" customWidth="1"/>
    <col min="12817" max="13052" width="9.140625" style="31"/>
    <col min="13053" max="13053" width="3.7109375" style="31" customWidth="1"/>
    <col min="13054" max="13054" width="30.42578125" style="31" customWidth="1"/>
    <col min="13055" max="13055" width="7.140625" style="31" customWidth="1"/>
    <col min="13056" max="13056" width="10.7109375" style="31" customWidth="1"/>
    <col min="13057" max="13057" width="10.42578125" style="31" customWidth="1"/>
    <col min="13058" max="13058" width="10.5703125" style="31" customWidth="1"/>
    <col min="13059" max="13059" width="10.42578125" style="31" customWidth="1"/>
    <col min="13060" max="13062" width="10.5703125" style="31" customWidth="1"/>
    <col min="13063" max="13065" width="10.42578125" style="31" customWidth="1"/>
    <col min="13066" max="13066" width="10.5703125" style="31" customWidth="1"/>
    <col min="13067" max="13067" width="10.28515625" style="31" customWidth="1"/>
    <col min="13068" max="13068" width="10.140625" style="31" customWidth="1"/>
    <col min="13069" max="13069" width="11.7109375" style="31" customWidth="1"/>
    <col min="13070" max="13070" width="12.42578125" style="31" customWidth="1"/>
    <col min="13071" max="13071" width="11.7109375" style="31" customWidth="1"/>
    <col min="13072" max="13072" width="13.140625" style="31" customWidth="1"/>
    <col min="13073" max="13308" width="9.140625" style="31"/>
    <col min="13309" max="13309" width="3.7109375" style="31" customWidth="1"/>
    <col min="13310" max="13310" width="30.42578125" style="31" customWidth="1"/>
    <col min="13311" max="13311" width="7.140625" style="31" customWidth="1"/>
    <col min="13312" max="13312" width="10.7109375" style="31" customWidth="1"/>
    <col min="13313" max="13313" width="10.42578125" style="31" customWidth="1"/>
    <col min="13314" max="13314" width="10.5703125" style="31" customWidth="1"/>
    <col min="13315" max="13315" width="10.42578125" style="31" customWidth="1"/>
    <col min="13316" max="13318" width="10.5703125" style="31" customWidth="1"/>
    <col min="13319" max="13321" width="10.42578125" style="31" customWidth="1"/>
    <col min="13322" max="13322" width="10.5703125" style="31" customWidth="1"/>
    <col min="13323" max="13323" width="10.28515625" style="31" customWidth="1"/>
    <col min="13324" max="13324" width="10.140625" style="31" customWidth="1"/>
    <col min="13325" max="13325" width="11.7109375" style="31" customWidth="1"/>
    <col min="13326" max="13326" width="12.42578125" style="31" customWidth="1"/>
    <col min="13327" max="13327" width="11.7109375" style="31" customWidth="1"/>
    <col min="13328" max="13328" width="13.140625" style="31" customWidth="1"/>
    <col min="13329" max="13564" width="9.140625" style="31"/>
    <col min="13565" max="13565" width="3.7109375" style="31" customWidth="1"/>
    <col min="13566" max="13566" width="30.42578125" style="31" customWidth="1"/>
    <col min="13567" max="13567" width="7.140625" style="31" customWidth="1"/>
    <col min="13568" max="13568" width="10.7109375" style="31" customWidth="1"/>
    <col min="13569" max="13569" width="10.42578125" style="31" customWidth="1"/>
    <col min="13570" max="13570" width="10.5703125" style="31" customWidth="1"/>
    <col min="13571" max="13571" width="10.42578125" style="31" customWidth="1"/>
    <col min="13572" max="13574" width="10.5703125" style="31" customWidth="1"/>
    <col min="13575" max="13577" width="10.42578125" style="31" customWidth="1"/>
    <col min="13578" max="13578" width="10.5703125" style="31" customWidth="1"/>
    <col min="13579" max="13579" width="10.28515625" style="31" customWidth="1"/>
    <col min="13580" max="13580" width="10.140625" style="31" customWidth="1"/>
    <col min="13581" max="13581" width="11.7109375" style="31" customWidth="1"/>
    <col min="13582" max="13582" width="12.42578125" style="31" customWidth="1"/>
    <col min="13583" max="13583" width="11.7109375" style="31" customWidth="1"/>
    <col min="13584" max="13584" width="13.140625" style="31" customWidth="1"/>
    <col min="13585" max="13820" width="9.140625" style="31"/>
    <col min="13821" max="13821" width="3.7109375" style="31" customWidth="1"/>
    <col min="13822" max="13822" width="30.42578125" style="31" customWidth="1"/>
    <col min="13823" max="13823" width="7.140625" style="31" customWidth="1"/>
    <col min="13824" max="13824" width="10.7109375" style="31" customWidth="1"/>
    <col min="13825" max="13825" width="10.42578125" style="31" customWidth="1"/>
    <col min="13826" max="13826" width="10.5703125" style="31" customWidth="1"/>
    <col min="13827" max="13827" width="10.42578125" style="31" customWidth="1"/>
    <col min="13828" max="13830" width="10.5703125" style="31" customWidth="1"/>
    <col min="13831" max="13833" width="10.42578125" style="31" customWidth="1"/>
    <col min="13834" max="13834" width="10.5703125" style="31" customWidth="1"/>
    <col min="13835" max="13835" width="10.28515625" style="31" customWidth="1"/>
    <col min="13836" max="13836" width="10.140625" style="31" customWidth="1"/>
    <col min="13837" max="13837" width="11.7109375" style="31" customWidth="1"/>
    <col min="13838" max="13838" width="12.42578125" style="31" customWidth="1"/>
    <col min="13839" max="13839" width="11.7109375" style="31" customWidth="1"/>
    <col min="13840" max="13840" width="13.140625" style="31" customWidth="1"/>
    <col min="13841" max="14076" width="9.140625" style="31"/>
    <col min="14077" max="14077" width="3.7109375" style="31" customWidth="1"/>
    <col min="14078" max="14078" width="30.42578125" style="31" customWidth="1"/>
    <col min="14079" max="14079" width="7.140625" style="31" customWidth="1"/>
    <col min="14080" max="14080" width="10.7109375" style="31" customWidth="1"/>
    <col min="14081" max="14081" width="10.42578125" style="31" customWidth="1"/>
    <col min="14082" max="14082" width="10.5703125" style="31" customWidth="1"/>
    <col min="14083" max="14083" width="10.42578125" style="31" customWidth="1"/>
    <col min="14084" max="14086" width="10.5703125" style="31" customWidth="1"/>
    <col min="14087" max="14089" width="10.42578125" style="31" customWidth="1"/>
    <col min="14090" max="14090" width="10.5703125" style="31" customWidth="1"/>
    <col min="14091" max="14091" width="10.28515625" style="31" customWidth="1"/>
    <col min="14092" max="14092" width="10.140625" style="31" customWidth="1"/>
    <col min="14093" max="14093" width="11.7109375" style="31" customWidth="1"/>
    <col min="14094" max="14094" width="12.42578125" style="31" customWidth="1"/>
    <col min="14095" max="14095" width="11.7109375" style="31" customWidth="1"/>
    <col min="14096" max="14096" width="13.140625" style="31" customWidth="1"/>
    <col min="14097" max="14332" width="9.140625" style="31"/>
    <col min="14333" max="14333" width="3.7109375" style="31" customWidth="1"/>
    <col min="14334" max="14334" width="30.42578125" style="31" customWidth="1"/>
    <col min="14335" max="14335" width="7.140625" style="31" customWidth="1"/>
    <col min="14336" max="14336" width="10.7109375" style="31" customWidth="1"/>
    <col min="14337" max="14337" width="10.42578125" style="31" customWidth="1"/>
    <col min="14338" max="14338" width="10.5703125" style="31" customWidth="1"/>
    <col min="14339" max="14339" width="10.42578125" style="31" customWidth="1"/>
    <col min="14340" max="14342" width="10.5703125" style="31" customWidth="1"/>
    <col min="14343" max="14345" width="10.42578125" style="31" customWidth="1"/>
    <col min="14346" max="14346" width="10.5703125" style="31" customWidth="1"/>
    <col min="14347" max="14347" width="10.28515625" style="31" customWidth="1"/>
    <col min="14348" max="14348" width="10.140625" style="31" customWidth="1"/>
    <col min="14349" max="14349" width="11.7109375" style="31" customWidth="1"/>
    <col min="14350" max="14350" width="12.42578125" style="31" customWidth="1"/>
    <col min="14351" max="14351" width="11.7109375" style="31" customWidth="1"/>
    <col min="14352" max="14352" width="13.140625" style="31" customWidth="1"/>
    <col min="14353" max="14588" width="9.140625" style="31"/>
    <col min="14589" max="14589" width="3.7109375" style="31" customWidth="1"/>
    <col min="14590" max="14590" width="30.42578125" style="31" customWidth="1"/>
    <col min="14591" max="14591" width="7.140625" style="31" customWidth="1"/>
    <col min="14592" max="14592" width="10.7109375" style="31" customWidth="1"/>
    <col min="14593" max="14593" width="10.42578125" style="31" customWidth="1"/>
    <col min="14594" max="14594" width="10.5703125" style="31" customWidth="1"/>
    <col min="14595" max="14595" width="10.42578125" style="31" customWidth="1"/>
    <col min="14596" max="14598" width="10.5703125" style="31" customWidth="1"/>
    <col min="14599" max="14601" width="10.42578125" style="31" customWidth="1"/>
    <col min="14602" max="14602" width="10.5703125" style="31" customWidth="1"/>
    <col min="14603" max="14603" width="10.28515625" style="31" customWidth="1"/>
    <col min="14604" max="14604" width="10.140625" style="31" customWidth="1"/>
    <col min="14605" max="14605" width="11.7109375" style="31" customWidth="1"/>
    <col min="14606" max="14606" width="12.42578125" style="31" customWidth="1"/>
    <col min="14607" max="14607" width="11.7109375" style="31" customWidth="1"/>
    <col min="14608" max="14608" width="13.140625" style="31" customWidth="1"/>
    <col min="14609" max="14844" width="9.140625" style="31"/>
    <col min="14845" max="14845" width="3.7109375" style="31" customWidth="1"/>
    <col min="14846" max="14846" width="30.42578125" style="31" customWidth="1"/>
    <col min="14847" max="14847" width="7.140625" style="31" customWidth="1"/>
    <col min="14848" max="14848" width="10.7109375" style="31" customWidth="1"/>
    <col min="14849" max="14849" width="10.42578125" style="31" customWidth="1"/>
    <col min="14850" max="14850" width="10.5703125" style="31" customWidth="1"/>
    <col min="14851" max="14851" width="10.42578125" style="31" customWidth="1"/>
    <col min="14852" max="14854" width="10.5703125" style="31" customWidth="1"/>
    <col min="14855" max="14857" width="10.42578125" style="31" customWidth="1"/>
    <col min="14858" max="14858" width="10.5703125" style="31" customWidth="1"/>
    <col min="14859" max="14859" width="10.28515625" style="31" customWidth="1"/>
    <col min="14860" max="14860" width="10.140625" style="31" customWidth="1"/>
    <col min="14861" max="14861" width="11.7109375" style="31" customWidth="1"/>
    <col min="14862" max="14862" width="12.42578125" style="31" customWidth="1"/>
    <col min="14863" max="14863" width="11.7109375" style="31" customWidth="1"/>
    <col min="14864" max="14864" width="13.140625" style="31" customWidth="1"/>
    <col min="14865" max="15100" width="9.140625" style="31"/>
    <col min="15101" max="15101" width="3.7109375" style="31" customWidth="1"/>
    <col min="15102" max="15102" width="30.42578125" style="31" customWidth="1"/>
    <col min="15103" max="15103" width="7.140625" style="31" customWidth="1"/>
    <col min="15104" max="15104" width="10.7109375" style="31" customWidth="1"/>
    <col min="15105" max="15105" width="10.42578125" style="31" customWidth="1"/>
    <col min="15106" max="15106" width="10.5703125" style="31" customWidth="1"/>
    <col min="15107" max="15107" width="10.42578125" style="31" customWidth="1"/>
    <col min="15108" max="15110" width="10.5703125" style="31" customWidth="1"/>
    <col min="15111" max="15113" width="10.42578125" style="31" customWidth="1"/>
    <col min="15114" max="15114" width="10.5703125" style="31" customWidth="1"/>
    <col min="15115" max="15115" width="10.28515625" style="31" customWidth="1"/>
    <col min="15116" max="15116" width="10.140625" style="31" customWidth="1"/>
    <col min="15117" max="15117" width="11.7109375" style="31" customWidth="1"/>
    <col min="15118" max="15118" width="12.42578125" style="31" customWidth="1"/>
    <col min="15119" max="15119" width="11.7109375" style="31" customWidth="1"/>
    <col min="15120" max="15120" width="13.140625" style="31" customWidth="1"/>
    <col min="15121" max="15356" width="9.140625" style="31"/>
    <col min="15357" max="15357" width="3.7109375" style="31" customWidth="1"/>
    <col min="15358" max="15358" width="30.42578125" style="31" customWidth="1"/>
    <col min="15359" max="15359" width="7.140625" style="31" customWidth="1"/>
    <col min="15360" max="15360" width="10.7109375" style="31" customWidth="1"/>
    <col min="15361" max="15361" width="10.42578125" style="31" customWidth="1"/>
    <col min="15362" max="15362" width="10.5703125" style="31" customWidth="1"/>
    <col min="15363" max="15363" width="10.42578125" style="31" customWidth="1"/>
    <col min="15364" max="15366" width="10.5703125" style="31" customWidth="1"/>
    <col min="15367" max="15369" width="10.42578125" style="31" customWidth="1"/>
    <col min="15370" max="15370" width="10.5703125" style="31" customWidth="1"/>
    <col min="15371" max="15371" width="10.28515625" style="31" customWidth="1"/>
    <col min="15372" max="15372" width="10.140625" style="31" customWidth="1"/>
    <col min="15373" max="15373" width="11.7109375" style="31" customWidth="1"/>
    <col min="15374" max="15374" width="12.42578125" style="31" customWidth="1"/>
    <col min="15375" max="15375" width="11.7109375" style="31" customWidth="1"/>
    <col min="15376" max="15376" width="13.140625" style="31" customWidth="1"/>
    <col min="15377" max="15612" width="9.140625" style="31"/>
    <col min="15613" max="15613" width="3.7109375" style="31" customWidth="1"/>
    <col min="15614" max="15614" width="30.42578125" style="31" customWidth="1"/>
    <col min="15615" max="15615" width="7.140625" style="31" customWidth="1"/>
    <col min="15616" max="15616" width="10.7109375" style="31" customWidth="1"/>
    <col min="15617" max="15617" width="10.42578125" style="31" customWidth="1"/>
    <col min="15618" max="15618" width="10.5703125" style="31" customWidth="1"/>
    <col min="15619" max="15619" width="10.42578125" style="31" customWidth="1"/>
    <col min="15620" max="15622" width="10.5703125" style="31" customWidth="1"/>
    <col min="15623" max="15625" width="10.42578125" style="31" customWidth="1"/>
    <col min="15626" max="15626" width="10.5703125" style="31" customWidth="1"/>
    <col min="15627" max="15627" width="10.28515625" style="31" customWidth="1"/>
    <col min="15628" max="15628" width="10.140625" style="31" customWidth="1"/>
    <col min="15629" max="15629" width="11.7109375" style="31" customWidth="1"/>
    <col min="15630" max="15630" width="12.42578125" style="31" customWidth="1"/>
    <col min="15631" max="15631" width="11.7109375" style="31" customWidth="1"/>
    <col min="15632" max="15632" width="13.140625" style="31" customWidth="1"/>
    <col min="15633" max="15868" width="9.140625" style="31"/>
    <col min="15869" max="15869" width="3.7109375" style="31" customWidth="1"/>
    <col min="15870" max="15870" width="30.42578125" style="31" customWidth="1"/>
    <col min="15871" max="15871" width="7.140625" style="31" customWidth="1"/>
    <col min="15872" max="15872" width="10.7109375" style="31" customWidth="1"/>
    <col min="15873" max="15873" width="10.42578125" style="31" customWidth="1"/>
    <col min="15874" max="15874" width="10.5703125" style="31" customWidth="1"/>
    <col min="15875" max="15875" width="10.42578125" style="31" customWidth="1"/>
    <col min="15876" max="15878" width="10.5703125" style="31" customWidth="1"/>
    <col min="15879" max="15881" width="10.42578125" style="31" customWidth="1"/>
    <col min="15882" max="15882" width="10.5703125" style="31" customWidth="1"/>
    <col min="15883" max="15883" width="10.28515625" style="31" customWidth="1"/>
    <col min="15884" max="15884" width="10.140625" style="31" customWidth="1"/>
    <col min="15885" max="15885" width="11.7109375" style="31" customWidth="1"/>
    <col min="15886" max="15886" width="12.42578125" style="31" customWidth="1"/>
    <col min="15887" max="15887" width="11.7109375" style="31" customWidth="1"/>
    <col min="15888" max="15888" width="13.140625" style="31" customWidth="1"/>
    <col min="15889" max="16124" width="9.140625" style="31"/>
    <col min="16125" max="16125" width="3.7109375" style="31" customWidth="1"/>
    <col min="16126" max="16126" width="30.42578125" style="31" customWidth="1"/>
    <col min="16127" max="16127" width="7.140625" style="31" customWidth="1"/>
    <col min="16128" max="16128" width="10.7109375" style="31" customWidth="1"/>
    <col min="16129" max="16129" width="10.42578125" style="31" customWidth="1"/>
    <col min="16130" max="16130" width="10.5703125" style="31" customWidth="1"/>
    <col min="16131" max="16131" width="10.42578125" style="31" customWidth="1"/>
    <col min="16132" max="16134" width="10.5703125" style="31" customWidth="1"/>
    <col min="16135" max="16137" width="10.42578125" style="31" customWidth="1"/>
    <col min="16138" max="16138" width="10.5703125" style="31" customWidth="1"/>
    <col min="16139" max="16139" width="10.28515625" style="31" customWidth="1"/>
    <col min="16140" max="16140" width="10.140625" style="31" customWidth="1"/>
    <col min="16141" max="16141" width="11.7109375" style="31" customWidth="1"/>
    <col min="16142" max="16142" width="12.42578125" style="31" customWidth="1"/>
    <col min="16143" max="16143" width="11.7109375" style="31" customWidth="1"/>
    <col min="16144" max="16144" width="13.140625" style="31" customWidth="1"/>
    <col min="16145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189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2" customHeight="1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204" t="s">
        <v>10</v>
      </c>
      <c r="L4" s="204" t="s">
        <v>11</v>
      </c>
      <c r="M4" s="204" t="s">
        <v>12</v>
      </c>
      <c r="N4" s="204" t="s">
        <v>13</v>
      </c>
      <c r="O4" s="205" t="s">
        <v>14</v>
      </c>
      <c r="P4" s="204" t="s">
        <v>15</v>
      </c>
      <c r="Q4" s="6" t="s">
        <v>192</v>
      </c>
      <c r="R4" s="6" t="s">
        <v>190</v>
      </c>
      <c r="S4" s="8" t="s">
        <v>191</v>
      </c>
    </row>
    <row r="5" spans="1:19" s="15" customFormat="1" ht="25.5">
      <c r="A5" s="206" t="s">
        <v>16</v>
      </c>
      <c r="B5" s="207" t="s">
        <v>195</v>
      </c>
      <c r="C5" s="208">
        <v>30</v>
      </c>
      <c r="D5" s="209">
        <v>170</v>
      </c>
      <c r="E5" s="209">
        <v>190</v>
      </c>
      <c r="F5" s="209">
        <v>188</v>
      </c>
      <c r="G5" s="209">
        <v>142</v>
      </c>
      <c r="H5" s="209">
        <v>137</v>
      </c>
      <c r="I5" s="209">
        <v>82</v>
      </c>
      <c r="J5" s="209">
        <v>118</v>
      </c>
      <c r="K5" s="209">
        <v>114</v>
      </c>
      <c r="L5" s="209">
        <v>44</v>
      </c>
      <c r="M5" s="209">
        <v>153</v>
      </c>
      <c r="N5" s="209">
        <v>31</v>
      </c>
      <c r="O5" s="209">
        <v>78</v>
      </c>
      <c r="P5" s="209">
        <v>74</v>
      </c>
      <c r="Q5" s="13">
        <f>SUM(D5:P5)</f>
        <v>1521</v>
      </c>
      <c r="R5" s="13">
        <v>1457</v>
      </c>
      <c r="S5" s="58">
        <v>1419</v>
      </c>
    </row>
    <row r="6" spans="1:19" s="21" customFormat="1">
      <c r="A6" s="210"/>
      <c r="B6" s="211" t="s">
        <v>17</v>
      </c>
      <c r="C6" s="212"/>
      <c r="D6" s="209">
        <v>25</v>
      </c>
      <c r="E6" s="209">
        <v>91</v>
      </c>
      <c r="F6" s="209">
        <v>20</v>
      </c>
      <c r="G6" s="209">
        <v>103</v>
      </c>
      <c r="H6" s="209">
        <v>18</v>
      </c>
      <c r="I6" s="209">
        <v>15</v>
      </c>
      <c r="J6" s="209">
        <v>35</v>
      </c>
      <c r="K6" s="209">
        <v>105</v>
      </c>
      <c r="L6" s="209">
        <v>58</v>
      </c>
      <c r="M6" s="209">
        <v>25</v>
      </c>
      <c r="N6" s="209">
        <v>82</v>
      </c>
      <c r="O6" s="209">
        <v>15</v>
      </c>
      <c r="P6" s="209">
        <v>0</v>
      </c>
      <c r="Q6" s="19">
        <f>SUM(D6:P6)</f>
        <v>592</v>
      </c>
      <c r="R6" s="19">
        <v>579</v>
      </c>
      <c r="S6" s="96">
        <v>653</v>
      </c>
    </row>
    <row r="7" spans="1:19" s="27" customFormat="1" ht="15">
      <c r="A7" s="213"/>
      <c r="B7" s="214" t="s">
        <v>18</v>
      </c>
      <c r="C7" s="215"/>
      <c r="D7" s="216">
        <f>SUM(D5:D6)</f>
        <v>195</v>
      </c>
      <c r="E7" s="216">
        <f t="shared" ref="E7:P7" si="0">SUM(E5:E6)</f>
        <v>281</v>
      </c>
      <c r="F7" s="216">
        <f t="shared" si="0"/>
        <v>208</v>
      </c>
      <c r="G7" s="216">
        <f t="shared" si="0"/>
        <v>245</v>
      </c>
      <c r="H7" s="216">
        <f t="shared" si="0"/>
        <v>155</v>
      </c>
      <c r="I7" s="216">
        <f t="shared" si="0"/>
        <v>97</v>
      </c>
      <c r="J7" s="216">
        <f t="shared" si="0"/>
        <v>153</v>
      </c>
      <c r="K7" s="216">
        <f t="shared" si="0"/>
        <v>219</v>
      </c>
      <c r="L7" s="216">
        <f t="shared" si="0"/>
        <v>102</v>
      </c>
      <c r="M7" s="216">
        <f t="shared" si="0"/>
        <v>178</v>
      </c>
      <c r="N7" s="216">
        <f t="shared" si="0"/>
        <v>113</v>
      </c>
      <c r="O7" s="216">
        <f t="shared" si="0"/>
        <v>93</v>
      </c>
      <c r="P7" s="216">
        <f t="shared" si="0"/>
        <v>74</v>
      </c>
      <c r="Q7" s="25">
        <f>SUM(D7:P7)</f>
        <v>2113</v>
      </c>
      <c r="R7" s="25">
        <v>2036</v>
      </c>
      <c r="S7" s="321">
        <v>2072</v>
      </c>
    </row>
    <row r="8" spans="1:19">
      <c r="A8" s="217" t="s">
        <v>19</v>
      </c>
      <c r="B8" s="207" t="s">
        <v>20</v>
      </c>
      <c r="C8" s="218"/>
      <c r="D8" s="209">
        <v>163</v>
      </c>
      <c r="E8" s="209">
        <v>181</v>
      </c>
      <c r="F8" s="209">
        <v>197</v>
      </c>
      <c r="G8" s="209">
        <v>137</v>
      </c>
      <c r="H8" s="209">
        <v>139</v>
      </c>
      <c r="I8" s="209">
        <v>74</v>
      </c>
      <c r="J8" s="209">
        <v>112</v>
      </c>
      <c r="K8" s="209">
        <v>118</v>
      </c>
      <c r="L8" s="209">
        <v>56</v>
      </c>
      <c r="M8" s="209">
        <v>145</v>
      </c>
      <c r="N8" s="209">
        <v>40</v>
      </c>
      <c r="O8" s="209">
        <v>75</v>
      </c>
      <c r="P8" s="209">
        <v>66</v>
      </c>
      <c r="Q8" s="30">
        <f>SUM(D8:P8)</f>
        <v>1503</v>
      </c>
      <c r="R8" s="30">
        <v>1379</v>
      </c>
      <c r="S8" s="317">
        <v>1424</v>
      </c>
    </row>
    <row r="9" spans="1:19">
      <c r="A9" s="210"/>
      <c r="B9" s="211" t="s">
        <v>21</v>
      </c>
      <c r="C9" s="212"/>
      <c r="D9" s="209">
        <f>D6</f>
        <v>25</v>
      </c>
      <c r="E9" s="209">
        <f t="shared" ref="E9:P9" si="1">E6</f>
        <v>91</v>
      </c>
      <c r="F9" s="209">
        <f t="shared" si="1"/>
        <v>20</v>
      </c>
      <c r="G9" s="209">
        <f t="shared" si="1"/>
        <v>103</v>
      </c>
      <c r="H9" s="209">
        <f t="shared" si="1"/>
        <v>18</v>
      </c>
      <c r="I9" s="209">
        <f t="shared" si="1"/>
        <v>15</v>
      </c>
      <c r="J9" s="209">
        <f t="shared" si="1"/>
        <v>35</v>
      </c>
      <c r="K9" s="209">
        <f t="shared" si="1"/>
        <v>105</v>
      </c>
      <c r="L9" s="209">
        <f t="shared" si="1"/>
        <v>58</v>
      </c>
      <c r="M9" s="209">
        <f t="shared" si="1"/>
        <v>25</v>
      </c>
      <c r="N9" s="209">
        <f t="shared" si="1"/>
        <v>82</v>
      </c>
      <c r="O9" s="209">
        <f t="shared" si="1"/>
        <v>15</v>
      </c>
      <c r="P9" s="209">
        <f t="shared" si="1"/>
        <v>0</v>
      </c>
      <c r="Q9" s="13">
        <f>SUM(D9:P9)</f>
        <v>592</v>
      </c>
      <c r="R9" s="13">
        <v>579</v>
      </c>
      <c r="S9" s="96">
        <v>653</v>
      </c>
    </row>
    <row r="10" spans="1:19" s="33" customFormat="1" ht="15">
      <c r="A10" s="213"/>
      <c r="B10" s="214" t="s">
        <v>22</v>
      </c>
      <c r="C10" s="215"/>
      <c r="D10" s="219">
        <f>SUM(D8:D9)</f>
        <v>188</v>
      </c>
      <c r="E10" s="219">
        <f t="shared" ref="E10:P10" si="2">SUM(E8:E9)</f>
        <v>272</v>
      </c>
      <c r="F10" s="219">
        <f t="shared" si="2"/>
        <v>217</v>
      </c>
      <c r="G10" s="219">
        <f t="shared" si="2"/>
        <v>240</v>
      </c>
      <c r="H10" s="219">
        <f t="shared" si="2"/>
        <v>157</v>
      </c>
      <c r="I10" s="219">
        <f t="shared" si="2"/>
        <v>89</v>
      </c>
      <c r="J10" s="219">
        <f t="shared" si="2"/>
        <v>147</v>
      </c>
      <c r="K10" s="219">
        <f t="shared" si="2"/>
        <v>223</v>
      </c>
      <c r="L10" s="219">
        <f t="shared" si="2"/>
        <v>114</v>
      </c>
      <c r="M10" s="219">
        <f t="shared" si="2"/>
        <v>170</v>
      </c>
      <c r="N10" s="219">
        <f t="shared" si="2"/>
        <v>122</v>
      </c>
      <c r="O10" s="219">
        <f t="shared" si="2"/>
        <v>90</v>
      </c>
      <c r="P10" s="219">
        <f t="shared" si="2"/>
        <v>66</v>
      </c>
      <c r="Q10" s="32">
        <f>SUM(Q8:Q9)</f>
        <v>2095</v>
      </c>
      <c r="R10" s="32">
        <v>1958</v>
      </c>
      <c r="S10" s="48">
        <v>2077</v>
      </c>
    </row>
    <row r="11" spans="1:19" s="15" customFormat="1" ht="25.5">
      <c r="A11" s="206" t="s">
        <v>23</v>
      </c>
      <c r="B11" s="207" t="s">
        <v>24</v>
      </c>
      <c r="C11" s="220"/>
      <c r="D11" s="209">
        <v>102</v>
      </c>
      <c r="E11" s="209">
        <v>117</v>
      </c>
      <c r="F11" s="209">
        <v>113</v>
      </c>
      <c r="G11" s="209">
        <v>95</v>
      </c>
      <c r="H11" s="209">
        <v>96</v>
      </c>
      <c r="I11" s="209">
        <v>52</v>
      </c>
      <c r="J11" s="209">
        <v>85</v>
      </c>
      <c r="K11" s="209">
        <v>64</v>
      </c>
      <c r="L11" s="209">
        <v>43</v>
      </c>
      <c r="M11" s="209">
        <v>90</v>
      </c>
      <c r="N11" s="209">
        <v>20</v>
      </c>
      <c r="O11" s="209">
        <v>49</v>
      </c>
      <c r="P11" s="209">
        <v>41</v>
      </c>
      <c r="Q11" s="36">
        <f>SUM(D11:P11)</f>
        <v>967</v>
      </c>
      <c r="R11" s="36">
        <v>955</v>
      </c>
      <c r="S11" s="49">
        <v>942</v>
      </c>
    </row>
    <row r="12" spans="1:19" s="21" customFormat="1">
      <c r="A12" s="210"/>
      <c r="B12" s="211" t="s">
        <v>25</v>
      </c>
      <c r="C12" s="212"/>
      <c r="D12" s="209">
        <v>7</v>
      </c>
      <c r="E12" s="209">
        <v>8</v>
      </c>
      <c r="F12" s="209">
        <v>13</v>
      </c>
      <c r="G12" s="209">
        <v>5</v>
      </c>
      <c r="H12" s="209">
        <v>7</v>
      </c>
      <c r="I12" s="209">
        <v>3</v>
      </c>
      <c r="J12" s="209">
        <v>2</v>
      </c>
      <c r="K12" s="209">
        <v>27</v>
      </c>
      <c r="L12" s="209">
        <v>4</v>
      </c>
      <c r="M12" s="209">
        <v>16</v>
      </c>
      <c r="N12" s="209">
        <v>3</v>
      </c>
      <c r="O12" s="209">
        <v>5</v>
      </c>
      <c r="P12" s="209">
        <v>1</v>
      </c>
      <c r="Q12" s="37">
        <f>SUM(D12:P12)</f>
        <v>101</v>
      </c>
      <c r="R12" s="37">
        <v>25</v>
      </c>
      <c r="S12" s="38">
        <v>45</v>
      </c>
    </row>
    <row r="13" spans="1:19" s="21" customFormat="1">
      <c r="A13" s="210"/>
      <c r="B13" s="221" t="s">
        <v>26</v>
      </c>
      <c r="C13" s="212"/>
      <c r="D13" s="222">
        <f>D11+D12</f>
        <v>109</v>
      </c>
      <c r="E13" s="222">
        <f t="shared" ref="E13:Q13" si="3">E11+E12</f>
        <v>125</v>
      </c>
      <c r="F13" s="222">
        <f t="shared" si="3"/>
        <v>126</v>
      </c>
      <c r="G13" s="222">
        <f t="shared" si="3"/>
        <v>100</v>
      </c>
      <c r="H13" s="222">
        <f t="shared" si="3"/>
        <v>103</v>
      </c>
      <c r="I13" s="222">
        <f t="shared" si="3"/>
        <v>55</v>
      </c>
      <c r="J13" s="222">
        <f t="shared" si="3"/>
        <v>87</v>
      </c>
      <c r="K13" s="222">
        <f t="shared" si="3"/>
        <v>91</v>
      </c>
      <c r="L13" s="222">
        <f t="shared" si="3"/>
        <v>47</v>
      </c>
      <c r="M13" s="222">
        <f t="shared" si="3"/>
        <v>106</v>
      </c>
      <c r="N13" s="222">
        <f t="shared" si="3"/>
        <v>23</v>
      </c>
      <c r="O13" s="222">
        <f t="shared" si="3"/>
        <v>54</v>
      </c>
      <c r="P13" s="222">
        <f t="shared" si="3"/>
        <v>42</v>
      </c>
      <c r="Q13" s="37">
        <f t="shared" si="3"/>
        <v>1068</v>
      </c>
      <c r="R13" s="37">
        <v>980</v>
      </c>
      <c r="S13" s="38">
        <v>987</v>
      </c>
    </row>
    <row r="14" spans="1:19" s="21" customFormat="1">
      <c r="A14" s="223"/>
      <c r="B14" s="224" t="s">
        <v>27</v>
      </c>
      <c r="C14" s="225"/>
      <c r="D14" s="226">
        <f t="shared" ref="D14:Q14" si="4">D12/D8*100</f>
        <v>4.294478527607362</v>
      </c>
      <c r="E14" s="226">
        <f t="shared" si="4"/>
        <v>4.4198895027624303</v>
      </c>
      <c r="F14" s="226">
        <f t="shared" si="4"/>
        <v>6.5989847715736047</v>
      </c>
      <c r="G14" s="226">
        <f t="shared" si="4"/>
        <v>3.6496350364963499</v>
      </c>
      <c r="H14" s="226">
        <f t="shared" si="4"/>
        <v>5.0359712230215825</v>
      </c>
      <c r="I14" s="226">
        <f t="shared" si="4"/>
        <v>4.0540540540540544</v>
      </c>
      <c r="J14" s="226">
        <f t="shared" si="4"/>
        <v>1.7857142857142856</v>
      </c>
      <c r="K14" s="226">
        <f t="shared" si="4"/>
        <v>22.881355932203391</v>
      </c>
      <c r="L14" s="226">
        <f t="shared" si="4"/>
        <v>7.1428571428571423</v>
      </c>
      <c r="M14" s="226">
        <f t="shared" si="4"/>
        <v>11.03448275862069</v>
      </c>
      <c r="N14" s="226">
        <f t="shared" si="4"/>
        <v>7.5</v>
      </c>
      <c r="O14" s="226">
        <f t="shared" si="4"/>
        <v>6.666666666666667</v>
      </c>
      <c r="P14" s="226">
        <f t="shared" si="4"/>
        <v>1.5151515151515151</v>
      </c>
      <c r="Q14" s="42">
        <f t="shared" si="4"/>
        <v>6.7198935462408516</v>
      </c>
      <c r="R14" s="42">
        <v>1.8129079042784626</v>
      </c>
      <c r="S14" s="43">
        <v>3.160112359550562</v>
      </c>
    </row>
    <row r="15" spans="1:19" s="21" customFormat="1">
      <c r="A15" s="217" t="s">
        <v>28</v>
      </c>
      <c r="B15" s="221" t="s">
        <v>29</v>
      </c>
      <c r="C15" s="218"/>
      <c r="D15" s="209">
        <f>D11</f>
        <v>102</v>
      </c>
      <c r="E15" s="209">
        <f t="shared" ref="E15:P15" si="5">E11</f>
        <v>117</v>
      </c>
      <c r="F15" s="209">
        <f t="shared" si="5"/>
        <v>113</v>
      </c>
      <c r="G15" s="209">
        <f t="shared" si="5"/>
        <v>95</v>
      </c>
      <c r="H15" s="209">
        <f t="shared" si="5"/>
        <v>96</v>
      </c>
      <c r="I15" s="209">
        <f t="shared" si="5"/>
        <v>52</v>
      </c>
      <c r="J15" s="209">
        <f t="shared" si="5"/>
        <v>85</v>
      </c>
      <c r="K15" s="209">
        <f t="shared" si="5"/>
        <v>64</v>
      </c>
      <c r="L15" s="228">
        <f t="shared" si="5"/>
        <v>43</v>
      </c>
      <c r="M15" s="209">
        <f t="shared" si="5"/>
        <v>90</v>
      </c>
      <c r="N15" s="209">
        <f t="shared" si="5"/>
        <v>20</v>
      </c>
      <c r="O15" s="209">
        <f t="shared" si="5"/>
        <v>49</v>
      </c>
      <c r="P15" s="209">
        <f t="shared" si="5"/>
        <v>41</v>
      </c>
      <c r="Q15" s="45">
        <f>SUM(D15:P15)</f>
        <v>967</v>
      </c>
      <c r="R15" s="45">
        <v>955</v>
      </c>
      <c r="S15" s="46">
        <v>942</v>
      </c>
    </row>
    <row r="16" spans="1:19" s="21" customFormat="1">
      <c r="A16" s="210"/>
      <c r="B16" s="211" t="s">
        <v>21</v>
      </c>
      <c r="C16" s="212"/>
      <c r="D16" s="209">
        <v>17</v>
      </c>
      <c r="E16" s="209">
        <v>61</v>
      </c>
      <c r="F16" s="209">
        <v>14</v>
      </c>
      <c r="G16" s="209">
        <v>74</v>
      </c>
      <c r="H16" s="209">
        <v>16</v>
      </c>
      <c r="I16" s="209">
        <v>12</v>
      </c>
      <c r="J16" s="209">
        <v>26</v>
      </c>
      <c r="K16" s="209">
        <v>84</v>
      </c>
      <c r="L16" s="209">
        <v>52</v>
      </c>
      <c r="M16" s="209">
        <v>14</v>
      </c>
      <c r="N16" s="209">
        <v>60</v>
      </c>
      <c r="O16" s="209">
        <v>9</v>
      </c>
      <c r="P16" s="209">
        <v>0</v>
      </c>
      <c r="Q16" s="37">
        <f>SUM(D16:P16)</f>
        <v>439</v>
      </c>
      <c r="R16" s="37">
        <v>415</v>
      </c>
      <c r="S16" s="38">
        <v>410</v>
      </c>
    </row>
    <row r="17" spans="1:19" s="27" customFormat="1" ht="15">
      <c r="A17" s="213"/>
      <c r="B17" s="229" t="s">
        <v>30</v>
      </c>
      <c r="C17" s="215"/>
      <c r="D17" s="219">
        <f>SUM(D15:D16)</f>
        <v>119</v>
      </c>
      <c r="E17" s="219">
        <f t="shared" ref="E17:Q17" si="6">SUM(E15:E16)</f>
        <v>178</v>
      </c>
      <c r="F17" s="219">
        <f t="shared" si="6"/>
        <v>127</v>
      </c>
      <c r="G17" s="219">
        <f t="shared" si="6"/>
        <v>169</v>
      </c>
      <c r="H17" s="219">
        <f t="shared" si="6"/>
        <v>112</v>
      </c>
      <c r="I17" s="219">
        <f t="shared" si="6"/>
        <v>64</v>
      </c>
      <c r="J17" s="219">
        <f t="shared" si="6"/>
        <v>111</v>
      </c>
      <c r="K17" s="219">
        <f t="shared" si="6"/>
        <v>148</v>
      </c>
      <c r="L17" s="219">
        <f t="shared" si="6"/>
        <v>95</v>
      </c>
      <c r="M17" s="219">
        <f t="shared" si="6"/>
        <v>104</v>
      </c>
      <c r="N17" s="219">
        <f t="shared" si="6"/>
        <v>80</v>
      </c>
      <c r="O17" s="219">
        <f t="shared" si="6"/>
        <v>58</v>
      </c>
      <c r="P17" s="219">
        <f t="shared" si="6"/>
        <v>41</v>
      </c>
      <c r="Q17" s="32">
        <f t="shared" si="6"/>
        <v>1406</v>
      </c>
      <c r="R17" s="32">
        <v>1370</v>
      </c>
      <c r="S17" s="48">
        <v>1352</v>
      </c>
    </row>
    <row r="18" spans="1:19" s="15" customFormat="1" ht="25.5">
      <c r="A18" s="206">
        <v>3</v>
      </c>
      <c r="B18" s="207" t="s">
        <v>31</v>
      </c>
      <c r="C18" s="220"/>
      <c r="D18" s="230">
        <f>D8-D11</f>
        <v>61</v>
      </c>
      <c r="E18" s="230">
        <f t="shared" ref="E18:Q18" si="7">E8-E11</f>
        <v>64</v>
      </c>
      <c r="F18" s="230">
        <f t="shared" si="7"/>
        <v>84</v>
      </c>
      <c r="G18" s="230">
        <f t="shared" si="7"/>
        <v>42</v>
      </c>
      <c r="H18" s="230">
        <f t="shared" si="7"/>
        <v>43</v>
      </c>
      <c r="I18" s="230">
        <f t="shared" si="7"/>
        <v>22</v>
      </c>
      <c r="J18" s="230">
        <f t="shared" si="7"/>
        <v>27</v>
      </c>
      <c r="K18" s="230">
        <f t="shared" si="7"/>
        <v>54</v>
      </c>
      <c r="L18" s="230">
        <f t="shared" si="7"/>
        <v>13</v>
      </c>
      <c r="M18" s="230">
        <f t="shared" si="7"/>
        <v>55</v>
      </c>
      <c r="N18" s="230">
        <f t="shared" si="7"/>
        <v>20</v>
      </c>
      <c r="O18" s="230">
        <f t="shared" si="7"/>
        <v>26</v>
      </c>
      <c r="P18" s="230">
        <f t="shared" si="7"/>
        <v>25</v>
      </c>
      <c r="Q18" s="19">
        <f t="shared" si="7"/>
        <v>536</v>
      </c>
      <c r="R18" s="19">
        <v>424</v>
      </c>
      <c r="S18" s="58">
        <v>482</v>
      </c>
    </row>
    <row r="19" spans="1:19" s="21" customFormat="1">
      <c r="A19" s="210"/>
      <c r="B19" s="211" t="s">
        <v>21</v>
      </c>
      <c r="C19" s="212"/>
      <c r="D19" s="230">
        <f>D6-D16</f>
        <v>8</v>
      </c>
      <c r="E19" s="230">
        <f t="shared" ref="E19:Q19" si="8">E6-E16</f>
        <v>30</v>
      </c>
      <c r="F19" s="230">
        <f t="shared" si="8"/>
        <v>6</v>
      </c>
      <c r="G19" s="230">
        <f t="shared" si="8"/>
        <v>29</v>
      </c>
      <c r="H19" s="230">
        <f t="shared" si="8"/>
        <v>2</v>
      </c>
      <c r="I19" s="230">
        <f t="shared" si="8"/>
        <v>3</v>
      </c>
      <c r="J19" s="230">
        <f t="shared" si="8"/>
        <v>9</v>
      </c>
      <c r="K19" s="230">
        <f t="shared" si="8"/>
        <v>21</v>
      </c>
      <c r="L19" s="230">
        <f t="shared" si="8"/>
        <v>6</v>
      </c>
      <c r="M19" s="230">
        <f t="shared" si="8"/>
        <v>11</v>
      </c>
      <c r="N19" s="230">
        <f t="shared" si="8"/>
        <v>22</v>
      </c>
      <c r="O19" s="230">
        <f t="shared" si="8"/>
        <v>6</v>
      </c>
      <c r="P19" s="230">
        <f t="shared" si="8"/>
        <v>0</v>
      </c>
      <c r="Q19" s="19">
        <f t="shared" si="8"/>
        <v>153</v>
      </c>
      <c r="R19" s="19">
        <v>164</v>
      </c>
      <c r="S19" s="96">
        <v>243</v>
      </c>
    </row>
    <row r="20" spans="1:19" s="21" customFormat="1">
      <c r="A20" s="210"/>
      <c r="B20" s="231" t="s">
        <v>32</v>
      </c>
      <c r="C20" s="212"/>
      <c r="D20" s="222">
        <f t="shared" ref="D20:P20" si="9">SUM(D18:D19)</f>
        <v>69</v>
      </c>
      <c r="E20" s="222">
        <f t="shared" si="9"/>
        <v>94</v>
      </c>
      <c r="F20" s="222">
        <f t="shared" si="9"/>
        <v>90</v>
      </c>
      <c r="G20" s="222">
        <f t="shared" si="9"/>
        <v>71</v>
      </c>
      <c r="H20" s="222">
        <f t="shared" si="9"/>
        <v>45</v>
      </c>
      <c r="I20" s="222">
        <f>SUM(I18:I19)</f>
        <v>25</v>
      </c>
      <c r="J20" s="222">
        <f>SUM(J18:J19)</f>
        <v>36</v>
      </c>
      <c r="K20" s="222">
        <f t="shared" si="9"/>
        <v>75</v>
      </c>
      <c r="L20" s="222">
        <f t="shared" si="9"/>
        <v>19</v>
      </c>
      <c r="M20" s="222">
        <f>SUM(M18:M19)</f>
        <v>66</v>
      </c>
      <c r="N20" s="222">
        <f t="shared" si="9"/>
        <v>42</v>
      </c>
      <c r="O20" s="222">
        <f t="shared" si="9"/>
        <v>32</v>
      </c>
      <c r="P20" s="222">
        <f t="shared" si="9"/>
        <v>25</v>
      </c>
      <c r="Q20" s="37">
        <f>SUM(D20:P20)</f>
        <v>689</v>
      </c>
      <c r="R20" s="37">
        <v>588</v>
      </c>
      <c r="S20" s="38">
        <v>725</v>
      </c>
    </row>
    <row r="21" spans="1:19" s="21" customFormat="1" ht="25.5">
      <c r="A21" s="210"/>
      <c r="B21" s="211" t="s">
        <v>33</v>
      </c>
      <c r="C21" s="212"/>
      <c r="D21" s="209">
        <v>55</v>
      </c>
      <c r="E21" s="209">
        <v>56</v>
      </c>
      <c r="F21" s="209">
        <v>72</v>
      </c>
      <c r="G21" s="209">
        <v>38</v>
      </c>
      <c r="H21" s="209">
        <v>35</v>
      </c>
      <c r="I21" s="209">
        <v>18</v>
      </c>
      <c r="J21" s="209">
        <v>27</v>
      </c>
      <c r="K21" s="209">
        <v>27</v>
      </c>
      <c r="L21" s="209">
        <v>9</v>
      </c>
      <c r="M21" s="209">
        <v>39</v>
      </c>
      <c r="N21" s="209">
        <v>17</v>
      </c>
      <c r="O21" s="209">
        <v>21</v>
      </c>
      <c r="P21" s="209">
        <v>24</v>
      </c>
      <c r="Q21" s="37">
        <f>SUM(D21:P21)</f>
        <v>438</v>
      </c>
      <c r="R21" s="37">
        <v>399</v>
      </c>
      <c r="S21" s="38">
        <v>436</v>
      </c>
    </row>
    <row r="22" spans="1:19" s="15" customFormat="1">
      <c r="A22" s="232"/>
      <c r="B22" s="233" t="s">
        <v>34</v>
      </c>
      <c r="C22" s="234"/>
      <c r="D22" s="226">
        <f t="shared" ref="D22:Q22" si="10">SUM(D21/D8*100)</f>
        <v>33.742331288343557</v>
      </c>
      <c r="E22" s="226">
        <f t="shared" si="10"/>
        <v>30.939226519337016</v>
      </c>
      <c r="F22" s="226">
        <f t="shared" si="10"/>
        <v>36.548223350253807</v>
      </c>
      <c r="G22" s="226">
        <f t="shared" si="10"/>
        <v>27.737226277372262</v>
      </c>
      <c r="H22" s="226">
        <f t="shared" si="10"/>
        <v>25.179856115107913</v>
      </c>
      <c r="I22" s="226">
        <f t="shared" si="10"/>
        <v>24.324324324324326</v>
      </c>
      <c r="J22" s="226">
        <f t="shared" si="10"/>
        <v>24.107142857142858</v>
      </c>
      <c r="K22" s="226">
        <f t="shared" si="10"/>
        <v>22.881355932203391</v>
      </c>
      <c r="L22" s="226">
        <f t="shared" si="10"/>
        <v>16.071428571428573</v>
      </c>
      <c r="M22" s="226">
        <f t="shared" si="10"/>
        <v>26.896551724137929</v>
      </c>
      <c r="N22" s="226">
        <f t="shared" si="10"/>
        <v>42.5</v>
      </c>
      <c r="O22" s="226">
        <f t="shared" si="10"/>
        <v>28.000000000000004</v>
      </c>
      <c r="P22" s="226">
        <f t="shared" si="10"/>
        <v>36.363636363636367</v>
      </c>
      <c r="Q22" s="42">
        <f t="shared" si="10"/>
        <v>29.141716566866265</v>
      </c>
      <c r="R22" s="42">
        <v>28.934010152284262</v>
      </c>
      <c r="S22" s="43">
        <v>30.617977528089892</v>
      </c>
    </row>
    <row r="23" spans="1:19" s="57" customFormat="1" ht="25.5">
      <c r="A23" s="235">
        <v>4</v>
      </c>
      <c r="B23" s="236" t="s">
        <v>35</v>
      </c>
      <c r="C23" s="237"/>
      <c r="D23" s="209">
        <v>161</v>
      </c>
      <c r="E23" s="209">
        <v>209</v>
      </c>
      <c r="F23" s="209">
        <v>164</v>
      </c>
      <c r="G23" s="209">
        <v>212</v>
      </c>
      <c r="H23" s="209">
        <v>128</v>
      </c>
      <c r="I23" s="209">
        <v>83</v>
      </c>
      <c r="J23" s="209">
        <v>126</v>
      </c>
      <c r="K23" s="209">
        <v>187</v>
      </c>
      <c r="L23" s="209">
        <v>97</v>
      </c>
      <c r="M23" s="209">
        <v>123</v>
      </c>
      <c r="N23" s="209">
        <v>84</v>
      </c>
      <c r="O23" s="209">
        <v>70</v>
      </c>
      <c r="P23" s="209">
        <v>42</v>
      </c>
      <c r="Q23" s="44">
        <f>SUM(D23:P23)</f>
        <v>1686</v>
      </c>
      <c r="R23" s="44">
        <v>1673</v>
      </c>
      <c r="S23" s="14">
        <v>1683</v>
      </c>
    </row>
    <row r="24" spans="1:19" s="15" customFormat="1" ht="38.25">
      <c r="A24" s="206">
        <v>5</v>
      </c>
      <c r="B24" s="207" t="s">
        <v>174</v>
      </c>
      <c r="C24" s="220"/>
      <c r="D24" s="209">
        <v>101</v>
      </c>
      <c r="E24" s="209">
        <v>110</v>
      </c>
      <c r="F24" s="209">
        <v>113</v>
      </c>
      <c r="G24" s="209">
        <v>93</v>
      </c>
      <c r="H24" s="209">
        <v>94</v>
      </c>
      <c r="I24" s="209">
        <v>52</v>
      </c>
      <c r="J24" s="209">
        <v>85</v>
      </c>
      <c r="K24" s="209">
        <v>64</v>
      </c>
      <c r="L24" s="209">
        <v>42</v>
      </c>
      <c r="M24" s="209">
        <v>90</v>
      </c>
      <c r="N24" s="209">
        <v>20</v>
      </c>
      <c r="O24" s="209">
        <v>49</v>
      </c>
      <c r="P24" s="209">
        <v>41</v>
      </c>
      <c r="Q24" s="45">
        <f t="shared" ref="Q24:Q29" si="11">SUM(D24:P24)</f>
        <v>954</v>
      </c>
      <c r="R24" s="45">
        <v>932</v>
      </c>
      <c r="S24" s="38">
        <v>933</v>
      </c>
    </row>
    <row r="25" spans="1:19" s="21" customFormat="1">
      <c r="A25" s="210"/>
      <c r="B25" s="211" t="s">
        <v>37</v>
      </c>
      <c r="C25" s="212"/>
      <c r="D25" s="209">
        <v>17</v>
      </c>
      <c r="E25" s="209">
        <v>61</v>
      </c>
      <c r="F25" s="209">
        <v>14</v>
      </c>
      <c r="G25" s="209">
        <v>74</v>
      </c>
      <c r="H25" s="209">
        <v>16</v>
      </c>
      <c r="I25" s="209">
        <v>12</v>
      </c>
      <c r="J25" s="209">
        <v>26</v>
      </c>
      <c r="K25" s="209">
        <v>84</v>
      </c>
      <c r="L25" s="209">
        <v>52</v>
      </c>
      <c r="M25" s="209">
        <v>14</v>
      </c>
      <c r="N25" s="209">
        <v>60</v>
      </c>
      <c r="O25" s="209">
        <v>9</v>
      </c>
      <c r="P25" s="209">
        <v>0</v>
      </c>
      <c r="Q25" s="37">
        <f t="shared" si="11"/>
        <v>439</v>
      </c>
      <c r="R25" s="37">
        <v>415</v>
      </c>
      <c r="S25" s="38">
        <v>410</v>
      </c>
    </row>
    <row r="26" spans="1:19" s="21" customFormat="1">
      <c r="A26" s="223"/>
      <c r="B26" s="224" t="s">
        <v>38</v>
      </c>
      <c r="C26" s="225"/>
      <c r="D26" s="238">
        <f t="shared" ref="D26:P26" si="12">SUM(D24:D25)</f>
        <v>118</v>
      </c>
      <c r="E26" s="238">
        <f t="shared" si="12"/>
        <v>171</v>
      </c>
      <c r="F26" s="238">
        <f t="shared" si="12"/>
        <v>127</v>
      </c>
      <c r="G26" s="238">
        <f t="shared" si="12"/>
        <v>167</v>
      </c>
      <c r="H26" s="238">
        <f t="shared" si="12"/>
        <v>110</v>
      </c>
      <c r="I26" s="238">
        <f>SUM(I24:I25)</f>
        <v>64</v>
      </c>
      <c r="J26" s="238">
        <f>SUM(J24:J25)</f>
        <v>111</v>
      </c>
      <c r="K26" s="238">
        <f t="shared" si="12"/>
        <v>148</v>
      </c>
      <c r="L26" s="238">
        <f t="shared" si="12"/>
        <v>94</v>
      </c>
      <c r="M26" s="238">
        <f>SUM(M24:M25)</f>
        <v>104</v>
      </c>
      <c r="N26" s="238">
        <f t="shared" si="12"/>
        <v>80</v>
      </c>
      <c r="O26" s="238">
        <f t="shared" si="12"/>
        <v>58</v>
      </c>
      <c r="P26" s="238">
        <f t="shared" si="12"/>
        <v>41</v>
      </c>
      <c r="Q26" s="59">
        <f t="shared" si="11"/>
        <v>1393</v>
      </c>
      <c r="R26" s="59">
        <v>1347</v>
      </c>
      <c r="S26" s="60">
        <v>1343</v>
      </c>
    </row>
    <row r="27" spans="1:19" s="27" customFormat="1">
      <c r="A27" s="323">
        <v>6</v>
      </c>
      <c r="B27" s="324" t="s">
        <v>39</v>
      </c>
      <c r="C27" s="325"/>
      <c r="D27" s="326">
        <v>999630</v>
      </c>
      <c r="E27" s="326">
        <v>1431411</v>
      </c>
      <c r="F27" s="326">
        <v>938520</v>
      </c>
      <c r="G27" s="326">
        <v>1260843</v>
      </c>
      <c r="H27" s="326">
        <v>928605</v>
      </c>
      <c r="I27" s="326">
        <v>478818</v>
      </c>
      <c r="J27" s="326">
        <v>747162</v>
      </c>
      <c r="K27" s="326">
        <v>1423161</v>
      </c>
      <c r="L27" s="326">
        <v>790992</v>
      </c>
      <c r="M27" s="326">
        <v>921149</v>
      </c>
      <c r="N27" s="326">
        <v>579159</v>
      </c>
      <c r="O27" s="326">
        <v>503886</v>
      </c>
      <c r="P27" s="326">
        <v>270603</v>
      </c>
      <c r="Q27" s="327">
        <f>SUM(D27:P27)</f>
        <v>11273939</v>
      </c>
      <c r="R27" s="327">
        <v>11557921</v>
      </c>
      <c r="S27" s="328">
        <v>11570127.5</v>
      </c>
    </row>
    <row r="28" spans="1:19" s="21" customFormat="1" ht="19.5" customHeight="1">
      <c r="A28" s="217">
        <v>7</v>
      </c>
      <c r="B28" s="207" t="s">
        <v>40</v>
      </c>
      <c r="C28" s="218"/>
      <c r="D28" s="209">
        <v>430947</v>
      </c>
      <c r="E28" s="209">
        <v>71228</v>
      </c>
      <c r="F28" s="209">
        <v>344956</v>
      </c>
      <c r="G28" s="209">
        <f>334781+9205</f>
        <v>343986</v>
      </c>
      <c r="H28" s="209">
        <v>438411</v>
      </c>
      <c r="I28" s="209">
        <v>311541</v>
      </c>
      <c r="J28" s="209">
        <v>437265</v>
      </c>
      <c r="K28" s="209">
        <v>281356</v>
      </c>
      <c r="L28" s="209">
        <v>191762</v>
      </c>
      <c r="M28" s="209">
        <v>107764</v>
      </c>
      <c r="N28" s="209">
        <v>31707</v>
      </c>
      <c r="O28" s="209">
        <v>35581</v>
      </c>
      <c r="P28" s="209">
        <v>86854</v>
      </c>
      <c r="Q28" s="44">
        <f t="shared" si="11"/>
        <v>3113358</v>
      </c>
      <c r="R28" s="44">
        <v>3714655</v>
      </c>
      <c r="S28" s="14">
        <v>3748697</v>
      </c>
    </row>
    <row r="29" spans="1:19" s="21" customFormat="1">
      <c r="A29" s="210"/>
      <c r="B29" s="211" t="s">
        <v>41</v>
      </c>
      <c r="C29" s="212"/>
      <c r="D29" s="209">
        <v>133587</v>
      </c>
      <c r="E29" s="209">
        <v>655503</v>
      </c>
      <c r="F29" s="209">
        <v>253762</v>
      </c>
      <c r="G29" s="209">
        <v>158598</v>
      </c>
      <c r="H29" s="209">
        <v>217195</v>
      </c>
      <c r="I29" s="209">
        <v>0</v>
      </c>
      <c r="J29" s="209">
        <v>30177</v>
      </c>
      <c r="K29" s="209">
        <v>178650</v>
      </c>
      <c r="L29" s="209">
        <v>142796</v>
      </c>
      <c r="M29" s="209">
        <v>519582</v>
      </c>
      <c r="N29" s="209">
        <v>66134</v>
      </c>
      <c r="O29" s="209">
        <v>278487</v>
      </c>
      <c r="P29" s="209">
        <v>160631</v>
      </c>
      <c r="Q29" s="44">
        <f t="shared" si="11"/>
        <v>2795102</v>
      </c>
      <c r="R29" s="44">
        <v>2155717</v>
      </c>
      <c r="S29" s="20">
        <v>1997196</v>
      </c>
    </row>
    <row r="30" spans="1:19" s="21" customFormat="1" ht="18.75" customHeight="1">
      <c r="A30" s="210"/>
      <c r="B30" s="211" t="s">
        <v>42</v>
      </c>
      <c r="C30" s="212"/>
      <c r="D30" s="209">
        <f t="shared" ref="D30:Q30" si="13">SUM(D28:D29)</f>
        <v>564534</v>
      </c>
      <c r="E30" s="209">
        <f t="shared" si="13"/>
        <v>726731</v>
      </c>
      <c r="F30" s="209">
        <f t="shared" si="13"/>
        <v>598718</v>
      </c>
      <c r="G30" s="209">
        <f t="shared" si="13"/>
        <v>502584</v>
      </c>
      <c r="H30" s="209">
        <f t="shared" si="13"/>
        <v>655606</v>
      </c>
      <c r="I30" s="209">
        <f t="shared" si="13"/>
        <v>311541</v>
      </c>
      <c r="J30" s="209">
        <f t="shared" si="13"/>
        <v>467442</v>
      </c>
      <c r="K30" s="209">
        <f t="shared" si="13"/>
        <v>460006</v>
      </c>
      <c r="L30" s="209">
        <f t="shared" si="13"/>
        <v>334558</v>
      </c>
      <c r="M30" s="209">
        <f t="shared" si="13"/>
        <v>627346</v>
      </c>
      <c r="N30" s="209">
        <f t="shared" si="13"/>
        <v>97841</v>
      </c>
      <c r="O30" s="209">
        <f t="shared" si="13"/>
        <v>314068</v>
      </c>
      <c r="P30" s="209">
        <f t="shared" si="13"/>
        <v>247485</v>
      </c>
      <c r="Q30" s="63">
        <f t="shared" si="13"/>
        <v>5908460</v>
      </c>
      <c r="R30" s="63">
        <v>5870372</v>
      </c>
      <c r="S30" s="20">
        <v>5745893</v>
      </c>
    </row>
    <row r="31" spans="1:19" s="21" customFormat="1">
      <c r="A31" s="243"/>
      <c r="B31" s="211" t="s">
        <v>43</v>
      </c>
      <c r="C31" s="212"/>
      <c r="D31" s="209">
        <f>15222+93617</f>
        <v>108839</v>
      </c>
      <c r="E31" s="209">
        <v>386524</v>
      </c>
      <c r="F31" s="209">
        <v>71114</v>
      </c>
      <c r="G31" s="209">
        <f>265636+164205</f>
        <v>429841</v>
      </c>
      <c r="H31" s="209">
        <v>81805</v>
      </c>
      <c r="I31" s="209">
        <f>51987+3643</f>
        <v>55630</v>
      </c>
      <c r="J31" s="209">
        <v>146689</v>
      </c>
      <c r="K31" s="209">
        <v>480692</v>
      </c>
      <c r="L31" s="209">
        <v>404127</v>
      </c>
      <c r="M31" s="209">
        <v>96235</v>
      </c>
      <c r="N31" s="209">
        <v>240742</v>
      </c>
      <c r="O31" s="209">
        <v>42681</v>
      </c>
      <c r="P31" s="209">
        <v>0</v>
      </c>
      <c r="Q31" s="45">
        <f>SUM(D31:P31)</f>
        <v>2544919</v>
      </c>
      <c r="R31" s="37">
        <v>2361454</v>
      </c>
      <c r="S31" s="38">
        <v>2603254</v>
      </c>
    </row>
    <row r="32" spans="1:19" s="21" customFormat="1">
      <c r="A32" s="243"/>
      <c r="B32" s="211" t="s">
        <v>153</v>
      </c>
      <c r="C32" s="212"/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96927</v>
      </c>
      <c r="L32" s="209">
        <v>0</v>
      </c>
      <c r="M32" s="209">
        <v>0</v>
      </c>
      <c r="N32" s="209">
        <v>130153</v>
      </c>
      <c r="O32" s="209">
        <v>0</v>
      </c>
      <c r="P32" s="209">
        <v>0</v>
      </c>
      <c r="Q32" s="45">
        <f>SUM(D32:P32)</f>
        <v>227080</v>
      </c>
      <c r="R32" s="137">
        <v>321490</v>
      </c>
      <c r="S32" s="322">
        <v>0</v>
      </c>
    </row>
    <row r="33" spans="1:19" s="21" customFormat="1">
      <c r="A33" s="243"/>
      <c r="B33" s="211" t="s">
        <v>150</v>
      </c>
      <c r="C33" s="212"/>
      <c r="D33" s="209">
        <f>SUM(D31:D32)</f>
        <v>108839</v>
      </c>
      <c r="E33" s="209">
        <f t="shared" ref="E33:Q33" si="14">SUM(E31:E32)</f>
        <v>386524</v>
      </c>
      <c r="F33" s="209">
        <f t="shared" si="14"/>
        <v>71114</v>
      </c>
      <c r="G33" s="209">
        <f t="shared" si="14"/>
        <v>429841</v>
      </c>
      <c r="H33" s="209">
        <f t="shared" si="14"/>
        <v>81805</v>
      </c>
      <c r="I33" s="209">
        <f t="shared" si="14"/>
        <v>55630</v>
      </c>
      <c r="J33" s="209">
        <f t="shared" si="14"/>
        <v>146689</v>
      </c>
      <c r="K33" s="209">
        <f t="shared" si="14"/>
        <v>577619</v>
      </c>
      <c r="L33" s="209">
        <f t="shared" si="14"/>
        <v>404127</v>
      </c>
      <c r="M33" s="209">
        <f t="shared" si="14"/>
        <v>96235</v>
      </c>
      <c r="N33" s="209">
        <f t="shared" si="14"/>
        <v>370895</v>
      </c>
      <c r="O33" s="209">
        <f t="shared" si="14"/>
        <v>42681</v>
      </c>
      <c r="P33" s="209">
        <f t="shared" si="14"/>
        <v>0</v>
      </c>
      <c r="Q33" s="13">
        <f t="shared" si="14"/>
        <v>2771999</v>
      </c>
      <c r="R33" s="37">
        <v>2682944</v>
      </c>
      <c r="S33" s="322">
        <v>2603254</v>
      </c>
    </row>
    <row r="34" spans="1:19" s="27" customFormat="1" ht="25.5">
      <c r="A34" s="244"/>
      <c r="B34" s="245" t="s">
        <v>175</v>
      </c>
      <c r="C34" s="246"/>
      <c r="D34" s="247">
        <f>D30+D33</f>
        <v>673373</v>
      </c>
      <c r="E34" s="247">
        <f t="shared" ref="E34:Q34" si="15">E30+E33</f>
        <v>1113255</v>
      </c>
      <c r="F34" s="247">
        <f t="shared" si="15"/>
        <v>669832</v>
      </c>
      <c r="G34" s="247">
        <f t="shared" si="15"/>
        <v>932425</v>
      </c>
      <c r="H34" s="247">
        <f t="shared" si="15"/>
        <v>737411</v>
      </c>
      <c r="I34" s="247">
        <f t="shared" si="15"/>
        <v>367171</v>
      </c>
      <c r="J34" s="247">
        <f t="shared" si="15"/>
        <v>614131</v>
      </c>
      <c r="K34" s="247">
        <f t="shared" si="15"/>
        <v>1037625</v>
      </c>
      <c r="L34" s="247">
        <f t="shared" si="15"/>
        <v>738685</v>
      </c>
      <c r="M34" s="247">
        <f t="shared" si="15"/>
        <v>723581</v>
      </c>
      <c r="N34" s="247">
        <f t="shared" si="15"/>
        <v>468736</v>
      </c>
      <c r="O34" s="247">
        <f t="shared" si="15"/>
        <v>356749</v>
      </c>
      <c r="P34" s="247">
        <f t="shared" si="15"/>
        <v>247485</v>
      </c>
      <c r="Q34" s="68">
        <f t="shared" si="15"/>
        <v>8680459</v>
      </c>
      <c r="R34" s="68">
        <v>8553316</v>
      </c>
      <c r="S34" s="338">
        <v>8349147</v>
      </c>
    </row>
    <row r="35" spans="1:19" s="21" customFormat="1">
      <c r="A35" s="217"/>
      <c r="B35" s="207" t="s">
        <v>44</v>
      </c>
      <c r="C35" s="218"/>
      <c r="D35" s="248">
        <f>D34/C5</f>
        <v>22445.766666666666</v>
      </c>
      <c r="E35" s="248">
        <f>E34/C5</f>
        <v>37108.5</v>
      </c>
      <c r="F35" s="248">
        <f>F34/C5</f>
        <v>22327.733333333334</v>
      </c>
      <c r="G35" s="248">
        <f>G34/C5</f>
        <v>31080.833333333332</v>
      </c>
      <c r="H35" s="248">
        <f>H34/C5</f>
        <v>24580.366666666665</v>
      </c>
      <c r="I35" s="248">
        <f>I34/C5</f>
        <v>12239.033333333333</v>
      </c>
      <c r="J35" s="248">
        <f>J34/C5</f>
        <v>20471.033333333333</v>
      </c>
      <c r="K35" s="248">
        <f>K34/C5</f>
        <v>34587.5</v>
      </c>
      <c r="L35" s="248">
        <f>L34/C5</f>
        <v>24622.833333333332</v>
      </c>
      <c r="M35" s="248">
        <f>M34/C5</f>
        <v>24119.366666666665</v>
      </c>
      <c r="N35" s="248">
        <f>N34/C5</f>
        <v>15624.533333333333</v>
      </c>
      <c r="O35" s="248">
        <f>O34/C5</f>
        <v>11891.633333333333</v>
      </c>
      <c r="P35" s="248">
        <f>P34/C5</f>
        <v>8249.5</v>
      </c>
      <c r="Q35" s="45">
        <f>Q34/C5</f>
        <v>289348.63333333336</v>
      </c>
      <c r="R35" s="37">
        <v>275913.41935483873</v>
      </c>
      <c r="S35" s="316">
        <v>278304.90000000002</v>
      </c>
    </row>
    <row r="36" spans="1:19" s="21" customFormat="1" ht="15" thickBot="1">
      <c r="A36" s="264"/>
      <c r="B36" s="265" t="s">
        <v>45</v>
      </c>
      <c r="C36" s="266"/>
      <c r="D36" s="267">
        <f t="shared" ref="D36:Q36" si="16">SUM((D35)/D17)</f>
        <v>188.61988795518207</v>
      </c>
      <c r="E36" s="267">
        <f t="shared" si="16"/>
        <v>208.47471910112358</v>
      </c>
      <c r="F36" s="267">
        <f t="shared" si="16"/>
        <v>175.80892388451443</v>
      </c>
      <c r="G36" s="267">
        <f t="shared" si="16"/>
        <v>183.91025641025641</v>
      </c>
      <c r="H36" s="267">
        <f t="shared" si="16"/>
        <v>219.46755952380951</v>
      </c>
      <c r="I36" s="267">
        <f t="shared" si="16"/>
        <v>191.23489583333333</v>
      </c>
      <c r="J36" s="267">
        <f t="shared" si="16"/>
        <v>184.42372372372373</v>
      </c>
      <c r="K36" s="267">
        <f t="shared" si="16"/>
        <v>233.69932432432432</v>
      </c>
      <c r="L36" s="267">
        <f t="shared" si="16"/>
        <v>259.18771929824561</v>
      </c>
      <c r="M36" s="267">
        <f t="shared" si="16"/>
        <v>231.91698717948717</v>
      </c>
      <c r="N36" s="267">
        <f t="shared" si="16"/>
        <v>195.30666666666667</v>
      </c>
      <c r="O36" s="267">
        <f t="shared" si="16"/>
        <v>205.02816091954023</v>
      </c>
      <c r="P36" s="267">
        <f t="shared" si="16"/>
        <v>201.20731707317074</v>
      </c>
      <c r="Q36" s="73">
        <f t="shared" si="16"/>
        <v>205.79561403508774</v>
      </c>
      <c r="R36" s="73">
        <v>201.39665646338594</v>
      </c>
      <c r="S36" s="74">
        <v>205.84681952662723</v>
      </c>
    </row>
    <row r="37" spans="1:19" s="21" customFormat="1" ht="15" thickTop="1">
      <c r="A37" s="217">
        <v>8</v>
      </c>
      <c r="B37" s="207" t="s">
        <v>46</v>
      </c>
      <c r="C37" s="21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44"/>
      <c r="R37" s="45"/>
      <c r="S37" s="49"/>
    </row>
    <row r="38" spans="1:19" s="21" customFormat="1">
      <c r="A38" s="243"/>
      <c r="B38" s="211" t="s">
        <v>47</v>
      </c>
      <c r="C38" s="212"/>
      <c r="D38" s="209">
        <v>5128</v>
      </c>
      <c r="E38" s="209">
        <v>2006</v>
      </c>
      <c r="F38" s="209">
        <v>13519</v>
      </c>
      <c r="G38" s="209">
        <f>13159+118</f>
        <v>13277</v>
      </c>
      <c r="H38" s="209">
        <v>4238</v>
      </c>
      <c r="I38" s="209">
        <v>6038</v>
      </c>
      <c r="J38" s="209">
        <v>4870</v>
      </c>
      <c r="K38" s="209">
        <v>4155</v>
      </c>
      <c r="L38" s="209">
        <v>2302</v>
      </c>
      <c r="M38" s="209">
        <v>2428</v>
      </c>
      <c r="N38" s="209">
        <v>750</v>
      </c>
      <c r="O38" s="209">
        <v>615</v>
      </c>
      <c r="P38" s="209">
        <v>2011</v>
      </c>
      <c r="Q38" s="37">
        <f>SUM(D38:P38)</f>
        <v>61337</v>
      </c>
      <c r="R38" s="97">
        <v>75959</v>
      </c>
      <c r="S38" s="98">
        <v>70413</v>
      </c>
    </row>
    <row r="39" spans="1:19" s="21" customFormat="1">
      <c r="A39" s="243"/>
      <c r="B39" s="211" t="s">
        <v>48</v>
      </c>
      <c r="C39" s="212"/>
      <c r="D39" s="209">
        <v>1736</v>
      </c>
      <c r="E39" s="209">
        <v>17846</v>
      </c>
      <c r="F39" s="209">
        <v>14925</v>
      </c>
      <c r="G39" s="209">
        <v>2957</v>
      </c>
      <c r="H39" s="209">
        <v>2230</v>
      </c>
      <c r="I39" s="209">
        <v>0</v>
      </c>
      <c r="J39" s="209">
        <v>1076</v>
      </c>
      <c r="K39" s="209">
        <v>3325</v>
      </c>
      <c r="L39" s="209">
        <v>7141</v>
      </c>
      <c r="M39" s="209">
        <v>3055</v>
      </c>
      <c r="N39" s="209">
        <v>1326</v>
      </c>
      <c r="O39" s="209">
        <v>4468</v>
      </c>
      <c r="P39" s="209">
        <v>6054</v>
      </c>
      <c r="Q39" s="37">
        <f>SUM(D39:P39)</f>
        <v>66139</v>
      </c>
      <c r="R39" s="44">
        <v>51785</v>
      </c>
      <c r="S39" s="38">
        <v>51289</v>
      </c>
    </row>
    <row r="40" spans="1:19" s="21" customFormat="1" ht="15.75" customHeight="1">
      <c r="A40" s="243"/>
      <c r="B40" s="211" t="s">
        <v>49</v>
      </c>
      <c r="C40" s="246"/>
      <c r="D40" s="250">
        <f t="shared" ref="D40:P40" si="17">SUM(D38:D39)</f>
        <v>6864</v>
      </c>
      <c r="E40" s="250">
        <f t="shared" si="17"/>
        <v>19852</v>
      </c>
      <c r="F40" s="250">
        <f t="shared" si="17"/>
        <v>28444</v>
      </c>
      <c r="G40" s="250">
        <f t="shared" si="17"/>
        <v>16234</v>
      </c>
      <c r="H40" s="250">
        <f t="shared" si="17"/>
        <v>6468</v>
      </c>
      <c r="I40" s="250">
        <f>SUM(I38:I39)</f>
        <v>6038</v>
      </c>
      <c r="J40" s="250">
        <f>SUM(J38:J39)</f>
        <v>5946</v>
      </c>
      <c r="K40" s="250">
        <f t="shared" si="17"/>
        <v>7480</v>
      </c>
      <c r="L40" s="250">
        <f t="shared" si="17"/>
        <v>9443</v>
      </c>
      <c r="M40" s="250">
        <f>SUM(M38:M39)</f>
        <v>5483</v>
      </c>
      <c r="N40" s="250">
        <f t="shared" si="17"/>
        <v>2076</v>
      </c>
      <c r="O40" s="250">
        <f t="shared" si="17"/>
        <v>5083</v>
      </c>
      <c r="P40" s="250">
        <f t="shared" si="17"/>
        <v>8065</v>
      </c>
      <c r="Q40" s="68">
        <f>SUM(D40:P40)</f>
        <v>127476</v>
      </c>
      <c r="R40" s="68">
        <v>127744</v>
      </c>
      <c r="S40" s="69">
        <v>121702</v>
      </c>
    </row>
    <row r="41" spans="1:19" s="21" customFormat="1">
      <c r="A41" s="210"/>
      <c r="B41" s="211" t="s">
        <v>50</v>
      </c>
      <c r="C41" s="212"/>
      <c r="D41" s="251">
        <f t="shared" ref="D41:P41" si="18">ROUND((D38)/$C5,0)</f>
        <v>171</v>
      </c>
      <c r="E41" s="251">
        <f t="shared" si="18"/>
        <v>67</v>
      </c>
      <c r="F41" s="251">
        <f t="shared" si="18"/>
        <v>451</v>
      </c>
      <c r="G41" s="251">
        <f t="shared" si="18"/>
        <v>443</v>
      </c>
      <c r="H41" s="251">
        <f t="shared" si="18"/>
        <v>141</v>
      </c>
      <c r="I41" s="251">
        <f t="shared" si="18"/>
        <v>201</v>
      </c>
      <c r="J41" s="251">
        <f t="shared" si="18"/>
        <v>162</v>
      </c>
      <c r="K41" s="251">
        <f t="shared" si="18"/>
        <v>139</v>
      </c>
      <c r="L41" s="251">
        <f t="shared" si="18"/>
        <v>77</v>
      </c>
      <c r="M41" s="251">
        <f t="shared" si="18"/>
        <v>81</v>
      </c>
      <c r="N41" s="251">
        <f t="shared" si="18"/>
        <v>25</v>
      </c>
      <c r="O41" s="251">
        <f t="shared" si="18"/>
        <v>21</v>
      </c>
      <c r="P41" s="251">
        <f t="shared" si="18"/>
        <v>67</v>
      </c>
      <c r="Q41" s="37">
        <f>Q38/C5</f>
        <v>2044.5666666666666</v>
      </c>
      <c r="R41" s="37">
        <v>2450.2903225806454</v>
      </c>
      <c r="S41" s="20">
        <v>2347.1</v>
      </c>
    </row>
    <row r="42" spans="1:19" s="21" customFormat="1">
      <c r="A42" s="210"/>
      <c r="B42" s="211" t="s">
        <v>51</v>
      </c>
      <c r="C42" s="212"/>
      <c r="D42" s="222">
        <f>SUM(D39/C5)</f>
        <v>57.866666666666667</v>
      </c>
      <c r="E42" s="222">
        <f>SUM(E39/C5)</f>
        <v>594.86666666666667</v>
      </c>
      <c r="F42" s="222">
        <f>SUM(F39/C5)</f>
        <v>497.5</v>
      </c>
      <c r="G42" s="222">
        <f>SUM(G39/C5)</f>
        <v>98.566666666666663</v>
      </c>
      <c r="H42" s="222">
        <f>SUM(H39/C5)</f>
        <v>74.333333333333329</v>
      </c>
      <c r="I42" s="222">
        <f>SUM(I39/C5)</f>
        <v>0</v>
      </c>
      <c r="J42" s="222">
        <f>SUM(J39/C5)</f>
        <v>35.866666666666667</v>
      </c>
      <c r="K42" s="222">
        <f>SUM(K39/C5)</f>
        <v>110.83333333333333</v>
      </c>
      <c r="L42" s="222">
        <f>SUM(L39/C5)</f>
        <v>238.03333333333333</v>
      </c>
      <c r="M42" s="222">
        <f>SUM(M39/C5)</f>
        <v>101.83333333333333</v>
      </c>
      <c r="N42" s="222">
        <f>SUM(N39/C5)</f>
        <v>44.2</v>
      </c>
      <c r="O42" s="222">
        <f>SUM(O39/C5)</f>
        <v>148.93333333333334</v>
      </c>
      <c r="P42" s="222">
        <f>SUM(P39/C5)</f>
        <v>201.8</v>
      </c>
      <c r="Q42" s="37">
        <f>Q39/C5</f>
        <v>2204.6333333333332</v>
      </c>
      <c r="R42" s="37">
        <v>1670.483870967742</v>
      </c>
      <c r="S42" s="38">
        <v>1709.6333333333334</v>
      </c>
    </row>
    <row r="43" spans="1:19" s="21" customFormat="1" ht="25.5">
      <c r="A43" s="210"/>
      <c r="B43" s="211" t="s">
        <v>52</v>
      </c>
      <c r="C43" s="212"/>
      <c r="D43" s="222">
        <f t="shared" ref="D43:P43" si="19">SUM(D41:D42)</f>
        <v>228.86666666666667</v>
      </c>
      <c r="E43" s="222">
        <f t="shared" si="19"/>
        <v>661.86666666666667</v>
      </c>
      <c r="F43" s="222">
        <f t="shared" si="19"/>
        <v>948.5</v>
      </c>
      <c r="G43" s="222">
        <f t="shared" si="19"/>
        <v>541.56666666666661</v>
      </c>
      <c r="H43" s="222">
        <f t="shared" si="19"/>
        <v>215.33333333333331</v>
      </c>
      <c r="I43" s="222">
        <f>SUM(I41:I42)</f>
        <v>201</v>
      </c>
      <c r="J43" s="222">
        <f>SUM(J41:J42)</f>
        <v>197.86666666666667</v>
      </c>
      <c r="K43" s="222">
        <f t="shared" si="19"/>
        <v>249.83333333333331</v>
      </c>
      <c r="L43" s="222">
        <f t="shared" si="19"/>
        <v>315.0333333333333</v>
      </c>
      <c r="M43" s="222">
        <f>SUM(M41:M42)</f>
        <v>182.83333333333331</v>
      </c>
      <c r="N43" s="222">
        <f t="shared" si="19"/>
        <v>69.2</v>
      </c>
      <c r="O43" s="222">
        <f t="shared" si="19"/>
        <v>169.93333333333334</v>
      </c>
      <c r="P43" s="222">
        <f t="shared" si="19"/>
        <v>268.8</v>
      </c>
      <c r="Q43" s="37">
        <f>Q40/C5</f>
        <v>4249.2</v>
      </c>
      <c r="R43" s="37">
        <v>4120.7741935483873</v>
      </c>
      <c r="S43" s="38">
        <v>4056.7333333333331</v>
      </c>
    </row>
    <row r="44" spans="1:19" s="21" customFormat="1">
      <c r="A44" s="210"/>
      <c r="B44" s="211" t="s">
        <v>53</v>
      </c>
      <c r="C44" s="212"/>
      <c r="D44" s="209">
        <v>14233</v>
      </c>
      <c r="E44" s="209">
        <v>16680</v>
      </c>
      <c r="F44" s="209">
        <v>15130</v>
      </c>
      <c r="G44" s="209">
        <v>12990</v>
      </c>
      <c r="H44" s="209">
        <v>5580</v>
      </c>
      <c r="I44" s="209">
        <v>6480</v>
      </c>
      <c r="J44" s="209">
        <v>2190</v>
      </c>
      <c r="K44" s="209">
        <v>4620</v>
      </c>
      <c r="L44" s="209">
        <v>3650</v>
      </c>
      <c r="M44" s="209">
        <v>7885</v>
      </c>
      <c r="N44" s="209">
        <v>1160</v>
      </c>
      <c r="O44" s="209">
        <v>1999</v>
      </c>
      <c r="P44" s="209">
        <v>2904</v>
      </c>
      <c r="Q44" s="76">
        <f>SUM(D44:P44)</f>
        <v>95501</v>
      </c>
      <c r="R44" s="37">
        <v>100956</v>
      </c>
      <c r="S44" s="38">
        <v>96223</v>
      </c>
    </row>
    <row r="45" spans="1:19" s="21" customFormat="1">
      <c r="A45" s="252"/>
      <c r="B45" s="253" t="s">
        <v>54</v>
      </c>
      <c r="C45" s="254"/>
      <c r="D45" s="255">
        <f t="shared" ref="D45:P45" si="20">ROUND((D44)/$C5,0)</f>
        <v>474</v>
      </c>
      <c r="E45" s="255">
        <f t="shared" si="20"/>
        <v>556</v>
      </c>
      <c r="F45" s="255">
        <f t="shared" si="20"/>
        <v>504</v>
      </c>
      <c r="G45" s="255">
        <f t="shared" si="20"/>
        <v>433</v>
      </c>
      <c r="H45" s="255">
        <f t="shared" si="20"/>
        <v>186</v>
      </c>
      <c r="I45" s="255">
        <f t="shared" si="20"/>
        <v>216</v>
      </c>
      <c r="J45" s="255">
        <f t="shared" si="20"/>
        <v>73</v>
      </c>
      <c r="K45" s="255">
        <f t="shared" si="20"/>
        <v>154</v>
      </c>
      <c r="L45" s="255">
        <f t="shared" si="20"/>
        <v>122</v>
      </c>
      <c r="M45" s="255">
        <f t="shared" si="20"/>
        <v>263</v>
      </c>
      <c r="N45" s="255">
        <f t="shared" si="20"/>
        <v>39</v>
      </c>
      <c r="O45" s="255">
        <f t="shared" si="20"/>
        <v>67</v>
      </c>
      <c r="P45" s="255">
        <f t="shared" si="20"/>
        <v>97</v>
      </c>
      <c r="Q45" s="59">
        <f>Q44/C5</f>
        <v>3183.3666666666668</v>
      </c>
      <c r="R45" s="59">
        <v>3256.6451612903224</v>
      </c>
      <c r="S45" s="60">
        <v>3207.4333333333334</v>
      </c>
    </row>
    <row r="46" spans="1:19">
      <c r="A46" s="256">
        <v>9</v>
      </c>
      <c r="B46" s="257" t="s">
        <v>173</v>
      </c>
      <c r="C46" s="258"/>
      <c r="D46" s="209">
        <v>450308</v>
      </c>
      <c r="E46" s="209">
        <v>73234</v>
      </c>
      <c r="F46" s="209">
        <v>373270</v>
      </c>
      <c r="G46" s="209">
        <f>360930+9323</f>
        <v>370253</v>
      </c>
      <c r="H46" s="209">
        <v>448229</v>
      </c>
      <c r="I46" s="209">
        <v>324059</v>
      </c>
      <c r="J46" s="209">
        <v>444325</v>
      </c>
      <c r="K46" s="209">
        <v>290071</v>
      </c>
      <c r="L46" s="209">
        <v>196969</v>
      </c>
      <c r="M46" s="209">
        <v>110192</v>
      </c>
      <c r="N46" s="209">
        <v>32717</v>
      </c>
      <c r="O46" s="209">
        <v>37295</v>
      </c>
      <c r="P46" s="209">
        <v>90569</v>
      </c>
      <c r="Q46" s="45">
        <f>SUM(D46:P46)</f>
        <v>3241491</v>
      </c>
      <c r="R46" s="169">
        <v>3861276</v>
      </c>
      <c r="S46" s="46">
        <v>3884349</v>
      </c>
    </row>
    <row r="47" spans="1:19">
      <c r="A47" s="210"/>
      <c r="B47" s="207" t="s">
        <v>56</v>
      </c>
      <c r="C47" s="212"/>
      <c r="D47" s="209">
        <v>135323</v>
      </c>
      <c r="E47" s="209">
        <v>690029</v>
      </c>
      <c r="F47" s="209">
        <v>269022</v>
      </c>
      <c r="G47" s="209">
        <v>161555</v>
      </c>
      <c r="H47" s="209">
        <v>219425</v>
      </c>
      <c r="I47" s="209">
        <v>0</v>
      </c>
      <c r="J47" s="209">
        <v>31253</v>
      </c>
      <c r="K47" s="209">
        <v>182035</v>
      </c>
      <c r="L47" s="209">
        <v>150682</v>
      </c>
      <c r="M47" s="209">
        <v>530522</v>
      </c>
      <c r="N47" s="209">
        <v>68360</v>
      </c>
      <c r="O47" s="209">
        <v>283855</v>
      </c>
      <c r="P47" s="209">
        <v>167885</v>
      </c>
      <c r="Q47" s="37">
        <f>SUM(D47:P47)</f>
        <v>2889946</v>
      </c>
      <c r="R47" s="37">
        <v>2237797</v>
      </c>
      <c r="S47" s="38">
        <v>2079469</v>
      </c>
    </row>
    <row r="48" spans="1:19" s="57" customFormat="1" ht="25.5">
      <c r="A48" s="235"/>
      <c r="B48" s="236" t="s">
        <v>187</v>
      </c>
      <c r="C48" s="237"/>
      <c r="D48" s="259">
        <f t="shared" ref="D48:P48" si="21">SUM(D46:D47)</f>
        <v>585631</v>
      </c>
      <c r="E48" s="259">
        <f t="shared" si="21"/>
        <v>763263</v>
      </c>
      <c r="F48" s="259">
        <f t="shared" si="21"/>
        <v>642292</v>
      </c>
      <c r="G48" s="259">
        <f t="shared" si="21"/>
        <v>531808</v>
      </c>
      <c r="H48" s="259">
        <f t="shared" si="21"/>
        <v>667654</v>
      </c>
      <c r="I48" s="259">
        <f>SUM(I46:I47)</f>
        <v>324059</v>
      </c>
      <c r="J48" s="259">
        <f>SUM(J46:J47)</f>
        <v>475578</v>
      </c>
      <c r="K48" s="259">
        <f t="shared" si="21"/>
        <v>472106</v>
      </c>
      <c r="L48" s="259">
        <f t="shared" si="21"/>
        <v>347651</v>
      </c>
      <c r="M48" s="259">
        <f>SUM(M46:M47)</f>
        <v>640714</v>
      </c>
      <c r="N48" s="259">
        <f t="shared" si="21"/>
        <v>101077</v>
      </c>
      <c r="O48" s="259">
        <f t="shared" si="21"/>
        <v>321150</v>
      </c>
      <c r="P48" s="259">
        <f t="shared" si="21"/>
        <v>258454</v>
      </c>
      <c r="Q48" s="85">
        <f>SUM(D48:P48)</f>
        <v>6131437</v>
      </c>
      <c r="R48" s="170">
        <v>6099073</v>
      </c>
      <c r="S48" s="69">
        <v>5963818</v>
      </c>
    </row>
    <row r="49" spans="1:19" ht="25.5">
      <c r="A49" s="217"/>
      <c r="B49" s="207" t="s">
        <v>58</v>
      </c>
      <c r="C49" s="218"/>
      <c r="D49" s="248">
        <f>SUM(D46/C5)</f>
        <v>15010.266666666666</v>
      </c>
      <c r="E49" s="248">
        <f>SUM(E46/C5)</f>
        <v>2441.1333333333332</v>
      </c>
      <c r="F49" s="248">
        <f>SUM(F46/C5)</f>
        <v>12442.333333333334</v>
      </c>
      <c r="G49" s="248">
        <f>SUM(G46/C5)</f>
        <v>12341.766666666666</v>
      </c>
      <c r="H49" s="248">
        <f>SUM(H46/C5)</f>
        <v>14940.966666666667</v>
      </c>
      <c r="I49" s="248">
        <f>SUM(I46/C5)</f>
        <v>10801.966666666667</v>
      </c>
      <c r="J49" s="248">
        <f>SUM(J46/C5)</f>
        <v>14810.833333333334</v>
      </c>
      <c r="K49" s="248">
        <f>SUM(K46/C5)</f>
        <v>9669.0333333333328</v>
      </c>
      <c r="L49" s="248">
        <f>SUM(L46/C5)</f>
        <v>6565.6333333333332</v>
      </c>
      <c r="M49" s="248">
        <f>SUM(M46/C5)</f>
        <v>3673.0666666666666</v>
      </c>
      <c r="N49" s="248">
        <f>SUM(N46/C5)</f>
        <v>1090.5666666666666</v>
      </c>
      <c r="O49" s="248">
        <f>SUM(O46/C5)</f>
        <v>1243.1666666666667</v>
      </c>
      <c r="P49" s="248">
        <f>SUM(P46/C5)</f>
        <v>3018.9666666666667</v>
      </c>
      <c r="Q49" s="45">
        <f>Q46/C5</f>
        <v>108049.7</v>
      </c>
      <c r="R49" s="37">
        <v>124557.29032258065</v>
      </c>
      <c r="S49" s="38">
        <v>129478.3</v>
      </c>
    </row>
    <row r="50" spans="1:19" ht="25.5">
      <c r="A50" s="210"/>
      <c r="B50" s="207" t="s">
        <v>59</v>
      </c>
      <c r="C50" s="212"/>
      <c r="D50" s="222">
        <f>SUM(D47/C5)</f>
        <v>4510.7666666666664</v>
      </c>
      <c r="E50" s="222">
        <f>SUM(E47/C5)</f>
        <v>23000.966666666667</v>
      </c>
      <c r="F50" s="222">
        <f>SUM(F47/C5)</f>
        <v>8967.4</v>
      </c>
      <c r="G50" s="222">
        <f>SUM(G47/C5)</f>
        <v>5385.166666666667</v>
      </c>
      <c r="H50" s="222">
        <f>SUM(H47/C5)</f>
        <v>7314.166666666667</v>
      </c>
      <c r="I50" s="222">
        <f>SUM(I47/C5)</f>
        <v>0</v>
      </c>
      <c r="J50" s="222">
        <f>SUM(J47/C5)</f>
        <v>1041.7666666666667</v>
      </c>
      <c r="K50" s="222">
        <f>SUM(K47/C5)</f>
        <v>6067.833333333333</v>
      </c>
      <c r="L50" s="222">
        <f>SUM(L47/C5)</f>
        <v>5022.7333333333336</v>
      </c>
      <c r="M50" s="222">
        <f>SUM(M47/C5)</f>
        <v>17684.066666666666</v>
      </c>
      <c r="N50" s="222">
        <f>SUM(N47/C5)</f>
        <v>2278.6666666666665</v>
      </c>
      <c r="O50" s="222">
        <f>SUM(O47/C5)</f>
        <v>9461.8333333333339</v>
      </c>
      <c r="P50" s="222">
        <f>SUM(P47/C5)</f>
        <v>5596.166666666667</v>
      </c>
      <c r="Q50" s="37">
        <f>Q47/C5</f>
        <v>96331.53333333334</v>
      </c>
      <c r="R50" s="36">
        <v>72187</v>
      </c>
      <c r="S50" s="69">
        <v>69315.633333333331</v>
      </c>
    </row>
    <row r="51" spans="1:19">
      <c r="A51" s="223"/>
      <c r="B51" s="224" t="s">
        <v>60</v>
      </c>
      <c r="C51" s="225"/>
      <c r="D51" s="238">
        <f t="shared" ref="D51:P51" si="22">SUM(D49:D50)</f>
        <v>19521.033333333333</v>
      </c>
      <c r="E51" s="238">
        <f t="shared" si="22"/>
        <v>25442.1</v>
      </c>
      <c r="F51" s="238">
        <f t="shared" si="22"/>
        <v>21409.733333333334</v>
      </c>
      <c r="G51" s="238">
        <f t="shared" si="22"/>
        <v>17726.933333333334</v>
      </c>
      <c r="H51" s="238">
        <f t="shared" si="22"/>
        <v>22255.133333333335</v>
      </c>
      <c r="I51" s="238">
        <f>SUM(I49:I50)</f>
        <v>10801.966666666667</v>
      </c>
      <c r="J51" s="238">
        <f>SUM(J49:J50)</f>
        <v>15852.6</v>
      </c>
      <c r="K51" s="238">
        <f t="shared" si="22"/>
        <v>15736.866666666665</v>
      </c>
      <c r="L51" s="238">
        <f t="shared" si="22"/>
        <v>11588.366666666667</v>
      </c>
      <c r="M51" s="238">
        <f>SUM(M49:M50)</f>
        <v>21357.133333333331</v>
      </c>
      <c r="N51" s="238">
        <f t="shared" si="22"/>
        <v>3369.2333333333331</v>
      </c>
      <c r="O51" s="238">
        <f t="shared" si="22"/>
        <v>10705</v>
      </c>
      <c r="P51" s="238">
        <f t="shared" si="22"/>
        <v>8615.1333333333332</v>
      </c>
      <c r="Q51" s="59">
        <f>Q48/C5</f>
        <v>204381.23333333334</v>
      </c>
      <c r="R51" s="59">
        <v>196744.29032258064</v>
      </c>
      <c r="S51" s="60">
        <v>198793.93333333332</v>
      </c>
    </row>
    <row r="52" spans="1:19" s="33" customFormat="1">
      <c r="A52" s="244">
        <v>10</v>
      </c>
      <c r="B52" s="245" t="s">
        <v>61</v>
      </c>
      <c r="C52" s="260"/>
      <c r="D52" s="248">
        <f t="shared" ref="D52:Q52" si="23">D27-D34</f>
        <v>326257</v>
      </c>
      <c r="E52" s="248">
        <f t="shared" si="23"/>
        <v>318156</v>
      </c>
      <c r="F52" s="248">
        <f t="shared" si="23"/>
        <v>268688</v>
      </c>
      <c r="G52" s="248">
        <f t="shared" si="23"/>
        <v>328418</v>
      </c>
      <c r="H52" s="248">
        <f t="shared" si="23"/>
        <v>191194</v>
      </c>
      <c r="I52" s="248">
        <f t="shared" si="23"/>
        <v>111647</v>
      </c>
      <c r="J52" s="248">
        <f t="shared" si="23"/>
        <v>133031</v>
      </c>
      <c r="K52" s="248">
        <f t="shared" si="23"/>
        <v>385536</v>
      </c>
      <c r="L52" s="248">
        <f t="shared" si="23"/>
        <v>52307</v>
      </c>
      <c r="M52" s="248">
        <f t="shared" si="23"/>
        <v>197568</v>
      </c>
      <c r="N52" s="248">
        <f t="shared" si="23"/>
        <v>110423</v>
      </c>
      <c r="O52" s="248">
        <f t="shared" si="23"/>
        <v>147137</v>
      </c>
      <c r="P52" s="248">
        <f t="shared" si="23"/>
        <v>23118</v>
      </c>
      <c r="Q52" s="45">
        <f t="shared" si="23"/>
        <v>2593480</v>
      </c>
      <c r="R52" s="45">
        <v>3004605</v>
      </c>
      <c r="S52" s="49">
        <v>3220980.5</v>
      </c>
    </row>
    <row r="53" spans="1:19">
      <c r="A53" s="223"/>
      <c r="B53" s="224" t="s">
        <v>62</v>
      </c>
      <c r="C53" s="225"/>
      <c r="D53" s="238">
        <f>SUM(D52/C5)</f>
        <v>10875.233333333334</v>
      </c>
      <c r="E53" s="238">
        <f>SUM(E52/C5)</f>
        <v>10605.2</v>
      </c>
      <c r="F53" s="238">
        <f>SUM(F52/C5)</f>
        <v>8956.2666666666664</v>
      </c>
      <c r="G53" s="238">
        <f>SUM(G52/C5)</f>
        <v>10947.266666666666</v>
      </c>
      <c r="H53" s="238">
        <f>SUM(H52/C5)</f>
        <v>6373.1333333333332</v>
      </c>
      <c r="I53" s="238">
        <f>SUM(I52/C5)</f>
        <v>3721.5666666666666</v>
      </c>
      <c r="J53" s="238">
        <f>SUM(J52/C5)</f>
        <v>4434.3666666666668</v>
      </c>
      <c r="K53" s="238">
        <f>SUM(K52/C5)</f>
        <v>12851.2</v>
      </c>
      <c r="L53" s="238">
        <f>SUM(L52/C5)</f>
        <v>1743.5666666666666</v>
      </c>
      <c r="M53" s="238">
        <f>SUM(M52/C5)</f>
        <v>6585.6</v>
      </c>
      <c r="N53" s="238">
        <f>SUM(N52/C5)</f>
        <v>3680.7666666666669</v>
      </c>
      <c r="O53" s="238">
        <f>SUM(O52/C5)</f>
        <v>4904.5666666666666</v>
      </c>
      <c r="P53" s="238">
        <f>SUM(P52/C5)</f>
        <v>770.6</v>
      </c>
      <c r="Q53" s="59">
        <f>SUM(Q52/C5)</f>
        <v>86449.333333333328</v>
      </c>
      <c r="R53" s="59">
        <v>96922.741935483864</v>
      </c>
      <c r="S53" s="60">
        <v>107366.01666666666</v>
      </c>
    </row>
    <row r="54" spans="1:19" s="15" customFormat="1" ht="25.5">
      <c r="A54" s="206">
        <v>11</v>
      </c>
      <c r="B54" s="207" t="s">
        <v>63</v>
      </c>
      <c r="C54" s="220"/>
      <c r="D54" s="209">
        <v>25690969</v>
      </c>
      <c r="E54" s="209">
        <v>42904512</v>
      </c>
      <c r="F54" s="209">
        <v>30548886</v>
      </c>
      <c r="G54" s="209">
        <v>44850245</v>
      </c>
      <c r="H54" s="209">
        <v>28523055</v>
      </c>
      <c r="I54" s="209">
        <v>16466804</v>
      </c>
      <c r="J54" s="209">
        <v>27246322</v>
      </c>
      <c r="K54" s="209">
        <v>35127700</v>
      </c>
      <c r="L54" s="209">
        <v>25915580</v>
      </c>
      <c r="M54" s="209">
        <v>23336590</v>
      </c>
      <c r="N54" s="209">
        <v>20526855</v>
      </c>
      <c r="O54" s="209">
        <v>14407607</v>
      </c>
      <c r="P54" s="209">
        <v>9635090</v>
      </c>
      <c r="Q54" s="87">
        <f>SUM(D54:P54)</f>
        <v>345180215</v>
      </c>
      <c r="R54" s="45">
        <v>349850417</v>
      </c>
      <c r="S54" s="46">
        <v>339529293</v>
      </c>
    </row>
    <row r="55" spans="1:19" s="21" customFormat="1">
      <c r="A55" s="210"/>
      <c r="B55" s="211" t="s">
        <v>64</v>
      </c>
      <c r="C55" s="212"/>
      <c r="D55" s="228">
        <f t="shared" ref="D55:P55" si="24">ROUND((D54)/$C5,0)</f>
        <v>856366</v>
      </c>
      <c r="E55" s="228">
        <f t="shared" si="24"/>
        <v>1430150</v>
      </c>
      <c r="F55" s="228">
        <f t="shared" si="24"/>
        <v>1018296</v>
      </c>
      <c r="G55" s="228">
        <f t="shared" si="24"/>
        <v>1495008</v>
      </c>
      <c r="H55" s="228">
        <f t="shared" si="24"/>
        <v>950769</v>
      </c>
      <c r="I55" s="228">
        <f t="shared" si="24"/>
        <v>548893</v>
      </c>
      <c r="J55" s="228">
        <f t="shared" si="24"/>
        <v>908211</v>
      </c>
      <c r="K55" s="228">
        <f t="shared" si="24"/>
        <v>1170923</v>
      </c>
      <c r="L55" s="228">
        <f t="shared" si="24"/>
        <v>863853</v>
      </c>
      <c r="M55" s="228">
        <f t="shared" si="24"/>
        <v>777886</v>
      </c>
      <c r="N55" s="228">
        <f t="shared" si="24"/>
        <v>684229</v>
      </c>
      <c r="O55" s="228">
        <f t="shared" si="24"/>
        <v>480254</v>
      </c>
      <c r="P55" s="228">
        <f t="shared" si="24"/>
        <v>321170</v>
      </c>
      <c r="Q55" s="45">
        <f>SUM(D55:P55)</f>
        <v>11506008</v>
      </c>
      <c r="R55" s="37">
        <v>11285497</v>
      </c>
      <c r="S55" s="38">
        <v>11317644</v>
      </c>
    </row>
    <row r="56" spans="1:19" s="15" customFormat="1">
      <c r="A56" s="261"/>
      <c r="B56" s="231" t="s">
        <v>65</v>
      </c>
      <c r="C56" s="262"/>
      <c r="D56" s="263">
        <f>SUM(D55/D65)</f>
        <v>13.607892594442536</v>
      </c>
      <c r="E56" s="263">
        <f t="shared" ref="E56:Q56" si="25">SUM(E55/E65)</f>
        <v>15.236784629863095</v>
      </c>
      <c r="F56" s="263">
        <f t="shared" si="25"/>
        <v>12.928132605607249</v>
      </c>
      <c r="G56" s="263">
        <f t="shared" si="25"/>
        <v>12.943523251464905</v>
      </c>
      <c r="H56" s="263">
        <f t="shared" si="25"/>
        <v>14.018448100709644</v>
      </c>
      <c r="I56" s="263">
        <f>SUM(I55/I65)</f>
        <v>12.415088592554168</v>
      </c>
      <c r="J56" s="263">
        <f>SUM(J55/J65)</f>
        <v>13.553574173406645</v>
      </c>
      <c r="K56" s="263">
        <f t="shared" si="25"/>
        <v>14.995172031076581</v>
      </c>
      <c r="L56" s="263">
        <f t="shared" si="25"/>
        <v>16.345033499775784</v>
      </c>
      <c r="M56" s="263">
        <f>SUM(M55/M65)</f>
        <v>14.425857595795488</v>
      </c>
      <c r="N56" s="263">
        <f t="shared" si="25"/>
        <v>13.2680773608724</v>
      </c>
      <c r="O56" s="263">
        <f t="shared" si="25"/>
        <v>14.085016775767812</v>
      </c>
      <c r="P56" s="263">
        <f t="shared" si="25"/>
        <v>13.535162258712074</v>
      </c>
      <c r="Q56" s="90">
        <f t="shared" si="25"/>
        <v>13.957492151190614</v>
      </c>
      <c r="R56" s="183">
        <v>13.832356970788121</v>
      </c>
      <c r="S56" s="98">
        <v>13.991779478267492</v>
      </c>
    </row>
    <row r="57" spans="1:19" s="21" customFormat="1" ht="25.5">
      <c r="A57" s="252"/>
      <c r="B57" s="253" t="s">
        <v>66</v>
      </c>
      <c r="C57" s="254"/>
      <c r="D57" s="320">
        <f t="shared" ref="D57:Q57" si="26">SUM(D55/D17)</f>
        <v>7196.3529411764703</v>
      </c>
      <c r="E57" s="320">
        <f t="shared" si="26"/>
        <v>8034.5505617977524</v>
      </c>
      <c r="F57" s="320">
        <f t="shared" si="26"/>
        <v>8018.0787401574808</v>
      </c>
      <c r="G57" s="320">
        <f t="shared" si="26"/>
        <v>8846.2011834319528</v>
      </c>
      <c r="H57" s="320">
        <f t="shared" si="26"/>
        <v>8489.0089285714294</v>
      </c>
      <c r="I57" s="320">
        <f t="shared" si="26"/>
        <v>8576.453125</v>
      </c>
      <c r="J57" s="320">
        <f t="shared" si="26"/>
        <v>8182.0810810810808</v>
      </c>
      <c r="K57" s="320">
        <f t="shared" si="26"/>
        <v>7911.6418918918916</v>
      </c>
      <c r="L57" s="320">
        <f t="shared" si="26"/>
        <v>9093.1894736842114</v>
      </c>
      <c r="M57" s="320">
        <f t="shared" si="26"/>
        <v>7479.6730769230771</v>
      </c>
      <c r="N57" s="320">
        <f t="shared" si="26"/>
        <v>8552.8624999999993</v>
      </c>
      <c r="O57" s="320">
        <f t="shared" si="26"/>
        <v>8280.2413793103442</v>
      </c>
      <c r="P57" s="320">
        <f t="shared" si="26"/>
        <v>7833.4146341463411</v>
      </c>
      <c r="Q57" s="92">
        <f t="shared" si="26"/>
        <v>8183.5049786628733</v>
      </c>
      <c r="R57" s="76">
        <v>8237.5890510948902</v>
      </c>
      <c r="S57" s="38">
        <v>8371.038461538461</v>
      </c>
    </row>
    <row r="58" spans="1:19" s="21" customFormat="1">
      <c r="A58" s="223">
        <v>12</v>
      </c>
      <c r="B58" s="224" t="s">
        <v>67</v>
      </c>
      <c r="C58" s="225"/>
      <c r="D58" s="249">
        <f t="shared" ref="D58:Q58" si="27">SUM(D54)/D34</f>
        <v>38.152656848433189</v>
      </c>
      <c r="E58" s="249">
        <f t="shared" si="27"/>
        <v>38.539698451837182</v>
      </c>
      <c r="F58" s="249">
        <f t="shared" si="27"/>
        <v>45.606787970715047</v>
      </c>
      <c r="G58" s="249">
        <f t="shared" si="27"/>
        <v>48.100646164570875</v>
      </c>
      <c r="H58" s="249">
        <f t="shared" si="27"/>
        <v>38.679996636882279</v>
      </c>
      <c r="I58" s="249">
        <f t="shared" si="27"/>
        <v>44.84777937255393</v>
      </c>
      <c r="J58" s="249">
        <f t="shared" si="27"/>
        <v>44.36565162807284</v>
      </c>
      <c r="K58" s="249">
        <f t="shared" si="27"/>
        <v>33.853945307794241</v>
      </c>
      <c r="L58" s="249">
        <f t="shared" si="27"/>
        <v>35.083398200856927</v>
      </c>
      <c r="M58" s="249">
        <f t="shared" si="27"/>
        <v>32.251524017352587</v>
      </c>
      <c r="N58" s="249">
        <f t="shared" si="27"/>
        <v>43.791931919033317</v>
      </c>
      <c r="O58" s="249">
        <f t="shared" si="27"/>
        <v>40.385837101155154</v>
      </c>
      <c r="P58" s="249">
        <f t="shared" si="27"/>
        <v>38.932016081782734</v>
      </c>
      <c r="Q58" s="107">
        <f t="shared" si="27"/>
        <v>39.765203084306947</v>
      </c>
      <c r="R58" s="42">
        <v>40.902314026513224</v>
      </c>
      <c r="S58" s="319">
        <v>40.666345076928216</v>
      </c>
    </row>
    <row r="59" spans="1:19" s="15" customFormat="1">
      <c r="A59" s="206">
        <v>13</v>
      </c>
      <c r="B59" s="207" t="s">
        <v>68</v>
      </c>
      <c r="C59" s="220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13"/>
      <c r="R59" s="121"/>
      <c r="S59" s="46"/>
    </row>
    <row r="60" spans="1:19" s="21" customFormat="1">
      <c r="A60" s="210"/>
      <c r="B60" s="211" t="s">
        <v>69</v>
      </c>
      <c r="C60" s="212"/>
      <c r="D60" s="269">
        <f>SUM(D58)/68.14*100</f>
        <v>55.991571541580839</v>
      </c>
      <c r="E60" s="269">
        <f t="shared" ref="E60:O60" si="28">SUM(E58)/68.14*100</f>
        <v>56.559580939003787</v>
      </c>
      <c r="F60" s="269">
        <f t="shared" si="28"/>
        <v>66.931006707829539</v>
      </c>
      <c r="G60" s="269">
        <f t="shared" si="28"/>
        <v>70.590910132918808</v>
      </c>
      <c r="H60" s="269">
        <f t="shared" si="28"/>
        <v>56.765477893868919</v>
      </c>
      <c r="I60" s="269">
        <f t="shared" si="28"/>
        <v>65.817110907769191</v>
      </c>
      <c r="J60" s="269">
        <f t="shared" si="28"/>
        <v>65.109556249006218</v>
      </c>
      <c r="K60" s="269">
        <f t="shared" si="28"/>
        <v>49.682925312289754</v>
      </c>
      <c r="L60" s="269">
        <f t="shared" si="28"/>
        <v>51.487229528701093</v>
      </c>
      <c r="M60" s="269">
        <f t="shared" si="28"/>
        <v>47.331265068025516</v>
      </c>
      <c r="N60" s="269">
        <f t="shared" si="28"/>
        <v>64.267584266265516</v>
      </c>
      <c r="O60" s="269">
        <f t="shared" si="28"/>
        <v>59.268912681472194</v>
      </c>
      <c r="P60" s="269">
        <f>SUM(P58)/68.14*100</f>
        <v>57.135333257679392</v>
      </c>
      <c r="Q60" s="97">
        <f>SUM(Q58)/68.14*100</f>
        <v>58.358090819352725</v>
      </c>
      <c r="R60" s="97">
        <v>59.244371417313467</v>
      </c>
      <c r="S60" s="91">
        <v>58.020181305361987</v>
      </c>
    </row>
    <row r="61" spans="1:19" s="27" customFormat="1" ht="60">
      <c r="A61" s="244"/>
      <c r="B61" s="270" t="s">
        <v>176</v>
      </c>
      <c r="C61" s="246"/>
      <c r="D61" s="271">
        <f>D129/68.14*100</f>
        <v>70.942177869093044</v>
      </c>
      <c r="E61" s="271">
        <f t="shared" ref="E61:Q61" si="29">E129/68.14*100</f>
        <v>73.715879072497785</v>
      </c>
      <c r="F61" s="271">
        <f t="shared" si="29"/>
        <v>81.332550631053707</v>
      </c>
      <c r="G61" s="271">
        <f t="shared" si="29"/>
        <v>85.074845905488701</v>
      </c>
      <c r="H61" s="271">
        <f t="shared" si="29"/>
        <v>72.938068682125049</v>
      </c>
      <c r="I61" s="271">
        <f t="shared" si="29"/>
        <v>80.789550924567067</v>
      </c>
      <c r="J61" s="271">
        <f t="shared" si="29"/>
        <v>79.586146169650718</v>
      </c>
      <c r="K61" s="271">
        <f t="shared" si="29"/>
        <v>64.690343410625189</v>
      </c>
      <c r="L61" s="271">
        <f t="shared" si="29"/>
        <v>70.736718520692705</v>
      </c>
      <c r="M61" s="271">
        <f t="shared" si="29"/>
        <v>62.797182271793361</v>
      </c>
      <c r="N61" s="271">
        <f t="shared" si="29"/>
        <v>79.953037863222775</v>
      </c>
      <c r="O61" s="271">
        <f t="shared" si="29"/>
        <v>74.097446433812735</v>
      </c>
      <c r="P61" s="271">
        <f t="shared" si="29"/>
        <v>71.602582917522753</v>
      </c>
      <c r="Q61" s="271">
        <f t="shared" si="29"/>
        <v>74.008093772135368</v>
      </c>
      <c r="R61" s="90">
        <v>76.37341523674786</v>
      </c>
      <c r="S61" s="98">
        <v>73.871794187573343</v>
      </c>
    </row>
    <row r="62" spans="1:19" s="21" customFormat="1" ht="25.5">
      <c r="A62" s="210">
        <v>14</v>
      </c>
      <c r="B62" s="211" t="s">
        <v>193</v>
      </c>
      <c r="C62" s="262"/>
      <c r="D62" s="251" t="s">
        <v>72</v>
      </c>
      <c r="E62" s="251" t="s">
        <v>72</v>
      </c>
      <c r="F62" s="251" t="s">
        <v>72</v>
      </c>
      <c r="G62" s="251" t="s">
        <v>72</v>
      </c>
      <c r="H62" s="251" t="s">
        <v>72</v>
      </c>
      <c r="I62" s="251" t="s">
        <v>72</v>
      </c>
      <c r="J62" s="251" t="s">
        <v>72</v>
      </c>
      <c r="K62" s="251" t="s">
        <v>72</v>
      </c>
      <c r="L62" s="251" t="s">
        <v>72</v>
      </c>
      <c r="M62" s="251" t="s">
        <v>72</v>
      </c>
      <c r="N62" s="251" t="s">
        <v>72</v>
      </c>
      <c r="O62" s="251" t="s">
        <v>72</v>
      </c>
      <c r="P62" s="251" t="s">
        <v>72</v>
      </c>
      <c r="Q62" s="63">
        <v>83.51</v>
      </c>
      <c r="R62" s="97">
        <v>76.98</v>
      </c>
      <c r="S62" s="98">
        <v>76.98</v>
      </c>
    </row>
    <row r="63" spans="1:19" s="15" customFormat="1" ht="25.5">
      <c r="A63" s="261">
        <v>15</v>
      </c>
      <c r="B63" s="211" t="s">
        <v>73</v>
      </c>
      <c r="C63" s="262"/>
      <c r="D63" s="263">
        <f t="shared" ref="D63:Q63" si="30">D15/D8*100</f>
        <v>62.576687116564422</v>
      </c>
      <c r="E63" s="263">
        <f t="shared" si="30"/>
        <v>64.640883977900558</v>
      </c>
      <c r="F63" s="263">
        <f t="shared" si="30"/>
        <v>57.360406091370564</v>
      </c>
      <c r="G63" s="263">
        <f t="shared" si="30"/>
        <v>69.34306569343066</v>
      </c>
      <c r="H63" s="263">
        <f t="shared" si="30"/>
        <v>69.064748201438846</v>
      </c>
      <c r="I63" s="263">
        <f t="shared" si="30"/>
        <v>70.270270270270274</v>
      </c>
      <c r="J63" s="263">
        <f t="shared" si="30"/>
        <v>75.892857142857139</v>
      </c>
      <c r="K63" s="263">
        <f t="shared" si="30"/>
        <v>54.237288135593218</v>
      </c>
      <c r="L63" s="263">
        <f t="shared" si="30"/>
        <v>76.785714285714292</v>
      </c>
      <c r="M63" s="263">
        <f t="shared" si="30"/>
        <v>62.068965517241381</v>
      </c>
      <c r="N63" s="263">
        <f t="shared" si="30"/>
        <v>50</v>
      </c>
      <c r="O63" s="263">
        <f t="shared" si="30"/>
        <v>65.333333333333329</v>
      </c>
      <c r="P63" s="263">
        <f t="shared" si="30"/>
        <v>62.121212121212125</v>
      </c>
      <c r="Q63" s="90">
        <f t="shared" si="30"/>
        <v>64.337990685296077</v>
      </c>
      <c r="R63" s="100">
        <v>69.25308194343728</v>
      </c>
      <c r="S63" s="91">
        <v>66.151685393258433</v>
      </c>
    </row>
    <row r="64" spans="1:19" s="15" customFormat="1" ht="25.5">
      <c r="A64" s="261">
        <v>16</v>
      </c>
      <c r="B64" s="211" t="s">
        <v>74</v>
      </c>
      <c r="C64" s="262"/>
      <c r="D64" s="263">
        <f t="shared" ref="D64:Q64" si="31">SUM(D51/D15)</f>
        <v>191.38267973856208</v>
      </c>
      <c r="E64" s="263">
        <f t="shared" si="31"/>
        <v>217.45384615384614</v>
      </c>
      <c r="F64" s="263">
        <f t="shared" si="31"/>
        <v>189.46666666666667</v>
      </c>
      <c r="G64" s="263">
        <f t="shared" si="31"/>
        <v>186.59929824561405</v>
      </c>
      <c r="H64" s="263">
        <f t="shared" si="31"/>
        <v>231.82430555555558</v>
      </c>
      <c r="I64" s="263">
        <f t="shared" si="31"/>
        <v>207.73012820512821</v>
      </c>
      <c r="J64" s="263">
        <f t="shared" si="31"/>
        <v>186.50117647058823</v>
      </c>
      <c r="K64" s="263">
        <f t="shared" si="31"/>
        <v>245.88854166666664</v>
      </c>
      <c r="L64" s="263">
        <f t="shared" si="31"/>
        <v>269.49689922480621</v>
      </c>
      <c r="M64" s="263">
        <f t="shared" si="31"/>
        <v>237.30148148148146</v>
      </c>
      <c r="N64" s="263">
        <f t="shared" si="31"/>
        <v>168.46166666666664</v>
      </c>
      <c r="O64" s="263">
        <f t="shared" si="31"/>
        <v>218.46938775510205</v>
      </c>
      <c r="P64" s="263">
        <f t="shared" si="31"/>
        <v>210.12520325203252</v>
      </c>
      <c r="Q64" s="90">
        <f t="shared" si="31"/>
        <v>211.35598069631163</v>
      </c>
      <c r="R64" s="97">
        <v>206.0149636885661</v>
      </c>
      <c r="S64" s="98">
        <v>211.03389950460013</v>
      </c>
    </row>
    <row r="65" spans="1:19" s="21" customFormat="1" ht="25.5">
      <c r="A65" s="217">
        <v>17</v>
      </c>
      <c r="B65" s="207" t="s">
        <v>75</v>
      </c>
      <c r="C65" s="220"/>
      <c r="D65" s="272">
        <v>62931.566666666666</v>
      </c>
      <c r="E65" s="272">
        <v>93861.666666666672</v>
      </c>
      <c r="F65" s="272">
        <v>78765.899999999994</v>
      </c>
      <c r="G65" s="272">
        <v>115502.39999999999</v>
      </c>
      <c r="H65" s="272">
        <v>67822.7</v>
      </c>
      <c r="I65" s="272">
        <v>44211.76666666667</v>
      </c>
      <c r="J65" s="272">
        <v>67008.96666666666</v>
      </c>
      <c r="K65" s="272">
        <v>78086.666666666672</v>
      </c>
      <c r="L65" s="272">
        <v>52851.1</v>
      </c>
      <c r="M65" s="272">
        <v>53923.033333333333</v>
      </c>
      <c r="N65" s="272">
        <v>51569.566666666666</v>
      </c>
      <c r="O65" s="272">
        <v>34096.800000000003</v>
      </c>
      <c r="P65" s="272">
        <v>23728.566666666666</v>
      </c>
      <c r="Q65" s="45">
        <f>SUM(D65:P65)</f>
        <v>824360.7</v>
      </c>
      <c r="R65" s="128">
        <v>815876.6451612903</v>
      </c>
      <c r="S65" s="317">
        <v>808878.1</v>
      </c>
    </row>
    <row r="66" spans="1:19" s="15" customFormat="1" ht="15" thickBot="1">
      <c r="A66" s="296"/>
      <c r="B66" s="265" t="s">
        <v>76</v>
      </c>
      <c r="C66" s="305"/>
      <c r="D66" s="329">
        <f t="shared" ref="D66:Q66" si="32">SUM(D65/D17)</f>
        <v>528.83669467787115</v>
      </c>
      <c r="E66" s="329">
        <f t="shared" si="32"/>
        <v>527.31273408239701</v>
      </c>
      <c r="F66" s="329">
        <f t="shared" si="32"/>
        <v>620.20393700787395</v>
      </c>
      <c r="G66" s="329">
        <f t="shared" si="32"/>
        <v>683.44615384615383</v>
      </c>
      <c r="H66" s="329">
        <f t="shared" si="32"/>
        <v>605.55982142857135</v>
      </c>
      <c r="I66" s="329">
        <f t="shared" si="32"/>
        <v>690.80885416666672</v>
      </c>
      <c r="J66" s="329">
        <f t="shared" si="32"/>
        <v>603.68438438438432</v>
      </c>
      <c r="K66" s="329">
        <f t="shared" si="32"/>
        <v>527.61261261261268</v>
      </c>
      <c r="L66" s="329">
        <f t="shared" si="32"/>
        <v>556.3273684210526</v>
      </c>
      <c r="M66" s="329">
        <f t="shared" si="32"/>
        <v>518.49070512820515</v>
      </c>
      <c r="N66" s="329">
        <f t="shared" si="32"/>
        <v>644.61958333333337</v>
      </c>
      <c r="O66" s="329">
        <f t="shared" si="32"/>
        <v>587.8758620689656</v>
      </c>
      <c r="P66" s="329">
        <f t="shared" si="32"/>
        <v>578.74552845528456</v>
      </c>
      <c r="Q66" s="103">
        <f t="shared" si="32"/>
        <v>586.3162873399715</v>
      </c>
      <c r="R66" s="184">
        <v>595.53039792794914</v>
      </c>
      <c r="S66" s="104">
        <v>598.28261834319528</v>
      </c>
    </row>
    <row r="67" spans="1:19" s="21" customFormat="1" ht="26.25" thickTop="1">
      <c r="A67" s="217">
        <v>18</v>
      </c>
      <c r="B67" s="207" t="s">
        <v>77</v>
      </c>
      <c r="C67" s="220"/>
      <c r="D67" s="228" t="s">
        <v>72</v>
      </c>
      <c r="E67" s="228" t="s">
        <v>72</v>
      </c>
      <c r="F67" s="228" t="s">
        <v>72</v>
      </c>
      <c r="G67" s="228" t="s">
        <v>72</v>
      </c>
      <c r="H67" s="228" t="s">
        <v>72</v>
      </c>
      <c r="I67" s="228" t="s">
        <v>72</v>
      </c>
      <c r="J67" s="228" t="s">
        <v>72</v>
      </c>
      <c r="K67" s="228" t="s">
        <v>72</v>
      </c>
      <c r="L67" s="228" t="s">
        <v>72</v>
      </c>
      <c r="M67" s="228" t="s">
        <v>72</v>
      </c>
      <c r="N67" s="228" t="s">
        <v>72</v>
      </c>
      <c r="O67" s="228" t="s">
        <v>72</v>
      </c>
      <c r="P67" s="228" t="s">
        <v>72</v>
      </c>
      <c r="Q67" s="44">
        <v>828600</v>
      </c>
      <c r="R67" s="45">
        <v>783200</v>
      </c>
      <c r="S67" s="49">
        <v>837100</v>
      </c>
    </row>
    <row r="68" spans="1:19" s="15" customFormat="1" ht="25.5">
      <c r="A68" s="206">
        <v>19</v>
      </c>
      <c r="B68" s="207" t="s">
        <v>78</v>
      </c>
      <c r="C68" s="220"/>
      <c r="D68" s="209" t="s">
        <v>72</v>
      </c>
      <c r="E68" s="209" t="s">
        <v>72</v>
      </c>
      <c r="F68" s="209" t="s">
        <v>72</v>
      </c>
      <c r="G68" s="209" t="s">
        <v>72</v>
      </c>
      <c r="H68" s="209" t="s">
        <v>72</v>
      </c>
      <c r="I68" s="209" t="s">
        <v>72</v>
      </c>
      <c r="J68" s="209" t="s">
        <v>72</v>
      </c>
      <c r="K68" s="209" t="s">
        <v>72</v>
      </c>
      <c r="L68" s="209" t="s">
        <v>72</v>
      </c>
      <c r="M68" s="209" t="s">
        <v>72</v>
      </c>
      <c r="N68" s="209" t="s">
        <v>72</v>
      </c>
      <c r="O68" s="209" t="s">
        <v>72</v>
      </c>
      <c r="P68" s="209" t="s">
        <v>72</v>
      </c>
      <c r="Q68" s="13">
        <v>3</v>
      </c>
      <c r="R68" s="37">
        <v>3</v>
      </c>
      <c r="S68" s="317">
        <v>2</v>
      </c>
    </row>
    <row r="69" spans="1:19" s="15" customFormat="1">
      <c r="A69" s="232"/>
      <c r="B69" s="224" t="s">
        <v>79</v>
      </c>
      <c r="C69" s="234"/>
      <c r="D69" s="273" t="s">
        <v>72</v>
      </c>
      <c r="E69" s="273" t="s">
        <v>72</v>
      </c>
      <c r="F69" s="273" t="s">
        <v>72</v>
      </c>
      <c r="G69" s="273" t="s">
        <v>72</v>
      </c>
      <c r="H69" s="273" t="s">
        <v>72</v>
      </c>
      <c r="I69" s="273" t="s">
        <v>72</v>
      </c>
      <c r="J69" s="273" t="s">
        <v>72</v>
      </c>
      <c r="K69" s="273" t="s">
        <v>72</v>
      </c>
      <c r="L69" s="273" t="s">
        <v>72</v>
      </c>
      <c r="M69" s="273" t="s">
        <v>72</v>
      </c>
      <c r="N69" s="273" t="s">
        <v>72</v>
      </c>
      <c r="O69" s="273" t="s">
        <v>72</v>
      </c>
      <c r="P69" s="273" t="s">
        <v>72</v>
      </c>
      <c r="Q69" s="105">
        <v>50</v>
      </c>
      <c r="R69" s="80">
        <v>6</v>
      </c>
      <c r="S69" s="60">
        <v>26</v>
      </c>
    </row>
    <row r="70" spans="1:19" s="15" customFormat="1" ht="25.5">
      <c r="A70" s="206">
        <v>20</v>
      </c>
      <c r="B70" s="207" t="s">
        <v>80</v>
      </c>
      <c r="C70" s="220"/>
      <c r="D70" s="209" t="s">
        <v>72</v>
      </c>
      <c r="E70" s="209" t="s">
        <v>72</v>
      </c>
      <c r="F70" s="209" t="s">
        <v>72</v>
      </c>
      <c r="G70" s="209" t="s">
        <v>72</v>
      </c>
      <c r="H70" s="209" t="s">
        <v>72</v>
      </c>
      <c r="I70" s="209" t="s">
        <v>72</v>
      </c>
      <c r="J70" s="209" t="s">
        <v>72</v>
      </c>
      <c r="K70" s="209" t="s">
        <v>72</v>
      </c>
      <c r="L70" s="209" t="s">
        <v>72</v>
      </c>
      <c r="M70" s="209" t="s">
        <v>72</v>
      </c>
      <c r="N70" s="209" t="s">
        <v>72</v>
      </c>
      <c r="O70" s="209" t="s">
        <v>72</v>
      </c>
      <c r="P70" s="209" t="s">
        <v>72</v>
      </c>
      <c r="Q70" s="13">
        <v>42689</v>
      </c>
      <c r="R70" s="13">
        <v>41304</v>
      </c>
      <c r="S70" s="46">
        <v>45754</v>
      </c>
    </row>
    <row r="71" spans="1:19" s="21" customFormat="1" ht="25.5">
      <c r="A71" s="210"/>
      <c r="B71" s="211" t="s">
        <v>177</v>
      </c>
      <c r="C71" s="262"/>
      <c r="D71" s="251" t="s">
        <v>72</v>
      </c>
      <c r="E71" s="251" t="s">
        <v>72</v>
      </c>
      <c r="F71" s="251" t="s">
        <v>72</v>
      </c>
      <c r="G71" s="251" t="s">
        <v>72</v>
      </c>
      <c r="H71" s="251" t="s">
        <v>72</v>
      </c>
      <c r="I71" s="251" t="s">
        <v>72</v>
      </c>
      <c r="J71" s="251" t="s">
        <v>72</v>
      </c>
      <c r="K71" s="251" t="s">
        <v>72</v>
      </c>
      <c r="L71" s="251" t="s">
        <v>72</v>
      </c>
      <c r="M71" s="251" t="s">
        <v>72</v>
      </c>
      <c r="N71" s="251" t="s">
        <v>72</v>
      </c>
      <c r="O71" s="251" t="s">
        <v>72</v>
      </c>
      <c r="P71" s="251" t="s">
        <v>72</v>
      </c>
      <c r="Q71" s="63">
        <v>30985770</v>
      </c>
      <c r="R71" s="19">
        <v>28089450</v>
      </c>
      <c r="S71" s="20">
        <v>31749920</v>
      </c>
    </row>
    <row r="72" spans="1:19" s="21" customFormat="1" ht="25.5">
      <c r="A72" s="223"/>
      <c r="B72" s="224" t="s">
        <v>82</v>
      </c>
      <c r="C72" s="234"/>
      <c r="D72" s="255" t="s">
        <v>72</v>
      </c>
      <c r="E72" s="255" t="s">
        <v>72</v>
      </c>
      <c r="F72" s="255" t="s">
        <v>72</v>
      </c>
      <c r="G72" s="255" t="s">
        <v>72</v>
      </c>
      <c r="H72" s="255" t="s">
        <v>72</v>
      </c>
      <c r="I72" s="255" t="s">
        <v>72</v>
      </c>
      <c r="J72" s="255" t="s">
        <v>72</v>
      </c>
      <c r="K72" s="255" t="s">
        <v>72</v>
      </c>
      <c r="L72" s="255" t="s">
        <v>72</v>
      </c>
      <c r="M72" s="255" t="s">
        <v>72</v>
      </c>
      <c r="N72" s="255" t="s">
        <v>72</v>
      </c>
      <c r="O72" s="255" t="s">
        <v>72</v>
      </c>
      <c r="P72" s="255" t="s">
        <v>72</v>
      </c>
      <c r="Q72" s="107">
        <f>SUM(Q71/Q34)</f>
        <v>3.5696004093792735</v>
      </c>
      <c r="R72" s="42">
        <v>3.2840421188694537</v>
      </c>
      <c r="S72" s="43">
        <v>3.8027741037497602</v>
      </c>
    </row>
    <row r="73" spans="1:19" s="21" customFormat="1">
      <c r="A73" s="217">
        <v>21</v>
      </c>
      <c r="B73" s="207" t="s">
        <v>83</v>
      </c>
      <c r="C73" s="220"/>
      <c r="D73" s="228" t="s">
        <v>72</v>
      </c>
      <c r="E73" s="228" t="s">
        <v>72</v>
      </c>
      <c r="F73" s="228" t="s">
        <v>72</v>
      </c>
      <c r="G73" s="228" t="s">
        <v>72</v>
      </c>
      <c r="H73" s="228" t="s">
        <v>72</v>
      </c>
      <c r="I73" s="228" t="s">
        <v>72</v>
      </c>
      <c r="J73" s="228" t="s">
        <v>72</v>
      </c>
      <c r="K73" s="228" t="s">
        <v>72</v>
      </c>
      <c r="L73" s="228" t="s">
        <v>72</v>
      </c>
      <c r="M73" s="228" t="s">
        <v>72</v>
      </c>
      <c r="N73" s="228" t="s">
        <v>72</v>
      </c>
      <c r="O73" s="228" t="s">
        <v>72</v>
      </c>
      <c r="P73" s="228" t="s">
        <v>72</v>
      </c>
      <c r="Q73" s="44">
        <f>SUM(C74:C80)</f>
        <v>526975</v>
      </c>
      <c r="R73" s="44">
        <v>533285</v>
      </c>
      <c r="S73" s="58">
        <v>516472</v>
      </c>
    </row>
    <row r="74" spans="1:19" ht="25.5">
      <c r="A74" s="210"/>
      <c r="B74" s="211" t="s">
        <v>84</v>
      </c>
      <c r="C74" s="262">
        <v>118049</v>
      </c>
      <c r="D74" s="251" t="s">
        <v>72</v>
      </c>
      <c r="E74" s="251" t="s">
        <v>72</v>
      </c>
      <c r="F74" s="251" t="s">
        <v>72</v>
      </c>
      <c r="G74" s="251" t="s">
        <v>72</v>
      </c>
      <c r="H74" s="251" t="s">
        <v>72</v>
      </c>
      <c r="I74" s="251" t="s">
        <v>72</v>
      </c>
      <c r="J74" s="251" t="s">
        <v>72</v>
      </c>
      <c r="K74" s="251" t="s">
        <v>72</v>
      </c>
      <c r="L74" s="251" t="s">
        <v>72</v>
      </c>
      <c r="M74" s="251" t="s">
        <v>72</v>
      </c>
      <c r="N74" s="251" t="s">
        <v>72</v>
      </c>
      <c r="O74" s="251" t="s">
        <v>72</v>
      </c>
      <c r="P74" s="251" t="s">
        <v>72</v>
      </c>
      <c r="Q74" s="63" t="s">
        <v>72</v>
      </c>
      <c r="R74" s="97" t="s">
        <v>72</v>
      </c>
      <c r="S74" s="91" t="s">
        <v>72</v>
      </c>
    </row>
    <row r="75" spans="1:19">
      <c r="A75" s="210"/>
      <c r="B75" s="211" t="s">
        <v>85</v>
      </c>
      <c r="C75" s="262">
        <v>379326</v>
      </c>
      <c r="D75" s="251" t="s">
        <v>72</v>
      </c>
      <c r="E75" s="251" t="s">
        <v>72</v>
      </c>
      <c r="F75" s="251" t="s">
        <v>72</v>
      </c>
      <c r="G75" s="251" t="s">
        <v>72</v>
      </c>
      <c r="H75" s="251" t="s">
        <v>72</v>
      </c>
      <c r="I75" s="251" t="s">
        <v>72</v>
      </c>
      <c r="J75" s="251" t="s">
        <v>72</v>
      </c>
      <c r="K75" s="251" t="s">
        <v>72</v>
      </c>
      <c r="L75" s="251" t="s">
        <v>72</v>
      </c>
      <c r="M75" s="251" t="s">
        <v>72</v>
      </c>
      <c r="N75" s="251" t="s">
        <v>72</v>
      </c>
      <c r="O75" s="251" t="s">
        <v>72</v>
      </c>
      <c r="P75" s="251" t="s">
        <v>72</v>
      </c>
      <c r="Q75" s="63" t="s">
        <v>72</v>
      </c>
      <c r="R75" s="44" t="s">
        <v>72</v>
      </c>
      <c r="S75" s="20" t="s">
        <v>72</v>
      </c>
    </row>
    <row r="76" spans="1:19" ht="25.5">
      <c r="A76" s="210"/>
      <c r="B76" s="211" t="s">
        <v>86</v>
      </c>
      <c r="C76" s="262">
        <v>8697</v>
      </c>
      <c r="D76" s="251" t="s">
        <v>72</v>
      </c>
      <c r="E76" s="251" t="s">
        <v>72</v>
      </c>
      <c r="F76" s="251" t="s">
        <v>72</v>
      </c>
      <c r="G76" s="251" t="s">
        <v>72</v>
      </c>
      <c r="H76" s="251" t="s">
        <v>72</v>
      </c>
      <c r="I76" s="251" t="s">
        <v>72</v>
      </c>
      <c r="J76" s="251" t="s">
        <v>72</v>
      </c>
      <c r="K76" s="251" t="s">
        <v>72</v>
      </c>
      <c r="L76" s="251" t="s">
        <v>72</v>
      </c>
      <c r="M76" s="251" t="s">
        <v>72</v>
      </c>
      <c r="N76" s="251" t="s">
        <v>72</v>
      </c>
      <c r="O76" s="251" t="s">
        <v>72</v>
      </c>
      <c r="P76" s="251" t="s">
        <v>72</v>
      </c>
      <c r="Q76" s="63" t="s">
        <v>72</v>
      </c>
      <c r="R76" s="63" t="s">
        <v>72</v>
      </c>
      <c r="S76" s="98" t="s">
        <v>72</v>
      </c>
    </row>
    <row r="77" spans="1:19">
      <c r="A77" s="210"/>
      <c r="B77" s="231" t="s">
        <v>87</v>
      </c>
      <c r="C77" s="262">
        <v>1347</v>
      </c>
      <c r="D77" s="251" t="s">
        <v>72</v>
      </c>
      <c r="E77" s="251" t="s">
        <v>72</v>
      </c>
      <c r="F77" s="251" t="s">
        <v>72</v>
      </c>
      <c r="G77" s="251" t="s">
        <v>72</v>
      </c>
      <c r="H77" s="251" t="s">
        <v>72</v>
      </c>
      <c r="I77" s="251" t="s">
        <v>72</v>
      </c>
      <c r="J77" s="251" t="s">
        <v>72</v>
      </c>
      <c r="K77" s="251" t="s">
        <v>72</v>
      </c>
      <c r="L77" s="251" t="s">
        <v>72</v>
      </c>
      <c r="M77" s="251" t="s">
        <v>72</v>
      </c>
      <c r="N77" s="251" t="s">
        <v>72</v>
      </c>
      <c r="O77" s="251" t="s">
        <v>72</v>
      </c>
      <c r="P77" s="251" t="s">
        <v>72</v>
      </c>
      <c r="Q77" s="63" t="s">
        <v>72</v>
      </c>
      <c r="R77" s="63" t="s">
        <v>72</v>
      </c>
      <c r="S77" s="20" t="s">
        <v>72</v>
      </c>
    </row>
    <row r="78" spans="1:19" ht="25.5">
      <c r="A78" s="217"/>
      <c r="B78" s="207" t="s">
        <v>88</v>
      </c>
      <c r="C78" s="262">
        <v>14830</v>
      </c>
      <c r="D78" s="228" t="s">
        <v>72</v>
      </c>
      <c r="E78" s="228" t="s">
        <v>72</v>
      </c>
      <c r="F78" s="228" t="s">
        <v>72</v>
      </c>
      <c r="G78" s="228" t="s">
        <v>72</v>
      </c>
      <c r="H78" s="228" t="s">
        <v>72</v>
      </c>
      <c r="I78" s="228" t="s">
        <v>72</v>
      </c>
      <c r="J78" s="228" t="s">
        <v>72</v>
      </c>
      <c r="K78" s="228" t="s">
        <v>72</v>
      </c>
      <c r="L78" s="228" t="s">
        <v>72</v>
      </c>
      <c r="M78" s="228" t="s">
        <v>72</v>
      </c>
      <c r="N78" s="228" t="s">
        <v>72</v>
      </c>
      <c r="O78" s="228" t="s">
        <v>72</v>
      </c>
      <c r="P78" s="228" t="s">
        <v>72</v>
      </c>
      <c r="Q78" s="44" t="s">
        <v>72</v>
      </c>
      <c r="R78" s="63" t="s">
        <v>72</v>
      </c>
      <c r="S78" s="98" t="s">
        <v>72</v>
      </c>
    </row>
    <row r="79" spans="1:19">
      <c r="A79" s="217"/>
      <c r="B79" s="207" t="s">
        <v>89</v>
      </c>
      <c r="C79" s="262">
        <v>673</v>
      </c>
      <c r="D79" s="228" t="s">
        <v>72</v>
      </c>
      <c r="E79" s="228" t="s">
        <v>72</v>
      </c>
      <c r="F79" s="228" t="s">
        <v>72</v>
      </c>
      <c r="G79" s="228" t="s">
        <v>72</v>
      </c>
      <c r="H79" s="228" t="s">
        <v>72</v>
      </c>
      <c r="I79" s="228" t="s">
        <v>72</v>
      </c>
      <c r="J79" s="228" t="s">
        <v>72</v>
      </c>
      <c r="K79" s="228" t="s">
        <v>72</v>
      </c>
      <c r="L79" s="228" t="s">
        <v>72</v>
      </c>
      <c r="M79" s="228" t="s">
        <v>72</v>
      </c>
      <c r="N79" s="228" t="s">
        <v>72</v>
      </c>
      <c r="O79" s="228" t="s">
        <v>72</v>
      </c>
      <c r="P79" s="228" t="s">
        <v>72</v>
      </c>
      <c r="Q79" s="44" t="s">
        <v>72</v>
      </c>
      <c r="R79" s="63" t="s">
        <v>72</v>
      </c>
      <c r="S79" s="20" t="s">
        <v>72</v>
      </c>
    </row>
    <row r="80" spans="1:19">
      <c r="A80" s="217"/>
      <c r="B80" s="207" t="s">
        <v>90</v>
      </c>
      <c r="C80" s="262">
        <v>4053</v>
      </c>
      <c r="D80" s="228" t="s">
        <v>72</v>
      </c>
      <c r="E80" s="228" t="s">
        <v>72</v>
      </c>
      <c r="F80" s="228" t="s">
        <v>72</v>
      </c>
      <c r="G80" s="228" t="s">
        <v>72</v>
      </c>
      <c r="H80" s="228" t="s">
        <v>72</v>
      </c>
      <c r="I80" s="228" t="s">
        <v>72</v>
      </c>
      <c r="J80" s="228" t="s">
        <v>72</v>
      </c>
      <c r="K80" s="228" t="s">
        <v>72</v>
      </c>
      <c r="L80" s="228" t="s">
        <v>72</v>
      </c>
      <c r="M80" s="228" t="s">
        <v>72</v>
      </c>
      <c r="N80" s="228" t="s">
        <v>72</v>
      </c>
      <c r="O80" s="228" t="s">
        <v>72</v>
      </c>
      <c r="P80" s="228" t="s">
        <v>72</v>
      </c>
      <c r="Q80" s="44" t="s">
        <v>72</v>
      </c>
      <c r="R80" s="63" t="s">
        <v>72</v>
      </c>
      <c r="S80" s="20" t="s">
        <v>72</v>
      </c>
    </row>
    <row r="81" spans="1:19" s="21" customFormat="1" ht="25.5">
      <c r="A81" s="210"/>
      <c r="B81" s="211" t="s">
        <v>91</v>
      </c>
      <c r="C81" s="274"/>
      <c r="D81" s="251" t="s">
        <v>72</v>
      </c>
      <c r="E81" s="251" t="s">
        <v>72</v>
      </c>
      <c r="F81" s="251" t="s">
        <v>72</v>
      </c>
      <c r="G81" s="251" t="s">
        <v>72</v>
      </c>
      <c r="H81" s="251" t="s">
        <v>72</v>
      </c>
      <c r="I81" s="251" t="s">
        <v>72</v>
      </c>
      <c r="J81" s="251" t="s">
        <v>72</v>
      </c>
      <c r="K81" s="251" t="s">
        <v>72</v>
      </c>
      <c r="L81" s="251" t="s">
        <v>72</v>
      </c>
      <c r="M81" s="251" t="s">
        <v>72</v>
      </c>
      <c r="N81" s="251" t="s">
        <v>72</v>
      </c>
      <c r="O81" s="251" t="s">
        <v>72</v>
      </c>
      <c r="P81" s="251" t="s">
        <v>72</v>
      </c>
      <c r="Q81" s="45">
        <v>60478920</v>
      </c>
      <c r="R81" s="63">
        <v>60910330</v>
      </c>
      <c r="S81" s="20">
        <v>59986190</v>
      </c>
    </row>
    <row r="82" spans="1:19" s="21" customFormat="1" ht="25.5">
      <c r="A82" s="223"/>
      <c r="B82" s="224" t="s">
        <v>92</v>
      </c>
      <c r="C82" s="330"/>
      <c r="D82" s="255" t="s">
        <v>72</v>
      </c>
      <c r="E82" s="255" t="s">
        <v>72</v>
      </c>
      <c r="F82" s="255" t="s">
        <v>72</v>
      </c>
      <c r="G82" s="255" t="s">
        <v>72</v>
      </c>
      <c r="H82" s="255" t="s">
        <v>72</v>
      </c>
      <c r="I82" s="255" t="s">
        <v>72</v>
      </c>
      <c r="J82" s="255" t="s">
        <v>72</v>
      </c>
      <c r="K82" s="255" t="s">
        <v>72</v>
      </c>
      <c r="L82" s="255" t="s">
        <v>72</v>
      </c>
      <c r="M82" s="255" t="s">
        <v>72</v>
      </c>
      <c r="N82" s="255" t="s">
        <v>72</v>
      </c>
      <c r="O82" s="255" t="s">
        <v>72</v>
      </c>
      <c r="P82" s="255" t="s">
        <v>72</v>
      </c>
      <c r="Q82" s="107">
        <f>SUM(Q81/Q34)</f>
        <v>6.9672490821049902</v>
      </c>
      <c r="R82" s="107">
        <v>7.1212533244416552</v>
      </c>
      <c r="S82" s="108">
        <v>7.1847088091753566</v>
      </c>
    </row>
    <row r="83" spans="1:19" s="21" customFormat="1" ht="18" customHeight="1">
      <c r="A83" s="217" t="s">
        <v>93</v>
      </c>
      <c r="B83" s="207" t="s">
        <v>94</v>
      </c>
      <c r="C83" s="277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127"/>
      <c r="R83" s="45"/>
      <c r="S83" s="14"/>
    </row>
    <row r="84" spans="1:19" s="21" customFormat="1" ht="18" customHeight="1">
      <c r="A84" s="210"/>
      <c r="B84" s="211" t="s">
        <v>95</v>
      </c>
      <c r="C84" s="278"/>
      <c r="D84" s="251" t="s">
        <v>72</v>
      </c>
      <c r="E84" s="251" t="s">
        <v>72</v>
      </c>
      <c r="F84" s="251" t="s">
        <v>72</v>
      </c>
      <c r="G84" s="251" t="s">
        <v>72</v>
      </c>
      <c r="H84" s="251" t="s">
        <v>72</v>
      </c>
      <c r="I84" s="251" t="s">
        <v>72</v>
      </c>
      <c r="J84" s="251" t="s">
        <v>72</v>
      </c>
      <c r="K84" s="251" t="s">
        <v>72</v>
      </c>
      <c r="L84" s="251" t="s">
        <v>72</v>
      </c>
      <c r="M84" s="251" t="s">
        <v>72</v>
      </c>
      <c r="N84" s="251" t="s">
        <v>72</v>
      </c>
      <c r="O84" s="251" t="s">
        <v>72</v>
      </c>
      <c r="P84" s="251" t="s">
        <v>72</v>
      </c>
      <c r="Q84" s="63">
        <v>0</v>
      </c>
      <c r="R84" s="37">
        <v>0</v>
      </c>
      <c r="S84" s="38">
        <v>0</v>
      </c>
    </row>
    <row r="85" spans="1:19" s="21" customFormat="1" ht="18" customHeight="1">
      <c r="A85" s="210"/>
      <c r="B85" s="211" t="s">
        <v>96</v>
      </c>
      <c r="C85" s="278"/>
      <c r="D85" s="251" t="s">
        <v>72</v>
      </c>
      <c r="E85" s="251" t="s">
        <v>72</v>
      </c>
      <c r="F85" s="251" t="s">
        <v>72</v>
      </c>
      <c r="G85" s="251" t="s">
        <v>72</v>
      </c>
      <c r="H85" s="251" t="s">
        <v>72</v>
      </c>
      <c r="I85" s="251" t="s">
        <v>72</v>
      </c>
      <c r="J85" s="251" t="s">
        <v>72</v>
      </c>
      <c r="K85" s="251" t="s">
        <v>72</v>
      </c>
      <c r="L85" s="251" t="s">
        <v>72</v>
      </c>
      <c r="M85" s="251" t="s">
        <v>72</v>
      </c>
      <c r="N85" s="251" t="s">
        <v>72</v>
      </c>
      <c r="O85" s="251" t="s">
        <v>72</v>
      </c>
      <c r="P85" s="251" t="s">
        <v>72</v>
      </c>
      <c r="Q85" s="63">
        <v>0</v>
      </c>
      <c r="R85" s="127">
        <v>2</v>
      </c>
      <c r="S85" s="38">
        <v>1</v>
      </c>
    </row>
    <row r="86" spans="1:19" s="21" customFormat="1" ht="18" customHeight="1">
      <c r="A86" s="210"/>
      <c r="B86" s="211" t="s">
        <v>97</v>
      </c>
      <c r="C86" s="278"/>
      <c r="D86" s="251" t="s">
        <v>72</v>
      </c>
      <c r="E86" s="251" t="s">
        <v>72</v>
      </c>
      <c r="F86" s="251" t="s">
        <v>72</v>
      </c>
      <c r="G86" s="251" t="s">
        <v>72</v>
      </c>
      <c r="H86" s="251" t="s">
        <v>72</v>
      </c>
      <c r="I86" s="251" t="s">
        <v>72</v>
      </c>
      <c r="J86" s="251" t="s">
        <v>72</v>
      </c>
      <c r="K86" s="251" t="s">
        <v>72</v>
      </c>
      <c r="L86" s="251" t="s">
        <v>72</v>
      </c>
      <c r="M86" s="251" t="s">
        <v>72</v>
      </c>
      <c r="N86" s="251" t="s">
        <v>72</v>
      </c>
      <c r="O86" s="251" t="s">
        <v>72</v>
      </c>
      <c r="P86" s="251" t="s">
        <v>72</v>
      </c>
      <c r="Q86" s="63">
        <v>4</v>
      </c>
      <c r="R86" s="63">
        <v>0</v>
      </c>
      <c r="S86" s="38">
        <v>1</v>
      </c>
    </row>
    <row r="87" spans="1:19" s="21" customFormat="1" ht="18" customHeight="1">
      <c r="A87" s="210"/>
      <c r="B87" s="211" t="s">
        <v>98</v>
      </c>
      <c r="C87" s="278"/>
      <c r="D87" s="251" t="s">
        <v>72</v>
      </c>
      <c r="E87" s="251" t="s">
        <v>72</v>
      </c>
      <c r="F87" s="251" t="s">
        <v>72</v>
      </c>
      <c r="G87" s="251" t="s">
        <v>72</v>
      </c>
      <c r="H87" s="251" t="s">
        <v>72</v>
      </c>
      <c r="I87" s="251" t="s">
        <v>72</v>
      </c>
      <c r="J87" s="251" t="s">
        <v>72</v>
      </c>
      <c r="K87" s="251" t="s">
        <v>72</v>
      </c>
      <c r="L87" s="251" t="s">
        <v>72</v>
      </c>
      <c r="M87" s="251" t="s">
        <v>72</v>
      </c>
      <c r="N87" s="251" t="s">
        <v>72</v>
      </c>
      <c r="O87" s="251" t="s">
        <v>72</v>
      </c>
      <c r="P87" s="251" t="s">
        <v>72</v>
      </c>
      <c r="Q87" s="63">
        <v>2</v>
      </c>
      <c r="R87" s="63">
        <v>5</v>
      </c>
      <c r="S87" s="181">
        <v>4</v>
      </c>
    </row>
    <row r="88" spans="1:19" s="21" customFormat="1" ht="18" customHeight="1">
      <c r="A88" s="210"/>
      <c r="B88" s="211" t="s">
        <v>99</v>
      </c>
      <c r="C88" s="278"/>
      <c r="D88" s="251" t="s">
        <v>72</v>
      </c>
      <c r="E88" s="251" t="s">
        <v>72</v>
      </c>
      <c r="F88" s="251" t="s">
        <v>72</v>
      </c>
      <c r="G88" s="251" t="s">
        <v>72</v>
      </c>
      <c r="H88" s="251" t="s">
        <v>72</v>
      </c>
      <c r="I88" s="251" t="s">
        <v>72</v>
      </c>
      <c r="J88" s="251" t="s">
        <v>72</v>
      </c>
      <c r="K88" s="251" t="s">
        <v>72</v>
      </c>
      <c r="L88" s="251" t="s">
        <v>72</v>
      </c>
      <c r="M88" s="251" t="s">
        <v>72</v>
      </c>
      <c r="N88" s="251" t="s">
        <v>72</v>
      </c>
      <c r="O88" s="251" t="s">
        <v>72</v>
      </c>
      <c r="P88" s="251" t="s">
        <v>72</v>
      </c>
      <c r="Q88" s="63">
        <f>SUM(Q84:Q87)</f>
        <v>6</v>
      </c>
      <c r="R88" s="63">
        <v>7</v>
      </c>
      <c r="S88" s="20">
        <v>6</v>
      </c>
    </row>
    <row r="89" spans="1:19" s="21" customFormat="1" ht="18" customHeight="1">
      <c r="A89" s="223"/>
      <c r="B89" s="224" t="s">
        <v>100</v>
      </c>
      <c r="C89" s="279"/>
      <c r="D89" s="255" t="s">
        <v>72</v>
      </c>
      <c r="E89" s="255" t="s">
        <v>72</v>
      </c>
      <c r="F89" s="255" t="s">
        <v>72</v>
      </c>
      <c r="G89" s="255" t="s">
        <v>72</v>
      </c>
      <c r="H89" s="255" t="s">
        <v>72</v>
      </c>
      <c r="I89" s="255" t="s">
        <v>72</v>
      </c>
      <c r="J89" s="255" t="s">
        <v>72</v>
      </c>
      <c r="K89" s="255" t="s">
        <v>72</v>
      </c>
      <c r="L89" s="255" t="s">
        <v>72</v>
      </c>
      <c r="M89" s="255" t="s">
        <v>72</v>
      </c>
      <c r="N89" s="255" t="s">
        <v>72</v>
      </c>
      <c r="O89" s="255" t="s">
        <v>72</v>
      </c>
      <c r="P89" s="255" t="s">
        <v>72</v>
      </c>
      <c r="Q89" s="107">
        <f>Q88/Q48*100000</f>
        <v>9.7856342648550421E-2</v>
      </c>
      <c r="R89" s="107">
        <v>0.11477153987171493</v>
      </c>
      <c r="S89" s="108">
        <v>0.10060669188764647</v>
      </c>
    </row>
    <row r="90" spans="1:19" s="21" customFormat="1" ht="18" customHeight="1">
      <c r="A90" s="280" t="s">
        <v>19</v>
      </c>
      <c r="B90" s="207" t="s">
        <v>101</v>
      </c>
      <c r="C90" s="281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121"/>
      <c r="R90" s="44"/>
      <c r="S90" s="14"/>
    </row>
    <row r="91" spans="1:19" s="21" customFormat="1" ht="18" customHeight="1">
      <c r="A91" s="280"/>
      <c r="B91" s="211" t="s">
        <v>95</v>
      </c>
      <c r="C91" s="278"/>
      <c r="D91" s="251" t="s">
        <v>72</v>
      </c>
      <c r="E91" s="251" t="s">
        <v>72</v>
      </c>
      <c r="F91" s="251" t="s">
        <v>72</v>
      </c>
      <c r="G91" s="251" t="s">
        <v>72</v>
      </c>
      <c r="H91" s="251" t="s">
        <v>72</v>
      </c>
      <c r="I91" s="251" t="s">
        <v>72</v>
      </c>
      <c r="J91" s="251" t="s">
        <v>72</v>
      </c>
      <c r="K91" s="251" t="s">
        <v>72</v>
      </c>
      <c r="L91" s="251" t="s">
        <v>72</v>
      </c>
      <c r="M91" s="251" t="s">
        <v>72</v>
      </c>
      <c r="N91" s="251" t="s">
        <v>72</v>
      </c>
      <c r="O91" s="251" t="s">
        <v>72</v>
      </c>
      <c r="P91" s="251" t="s">
        <v>72</v>
      </c>
      <c r="Q91" s="63">
        <v>0</v>
      </c>
      <c r="R91" s="37">
        <v>0</v>
      </c>
      <c r="S91" s="38">
        <v>1</v>
      </c>
    </row>
    <row r="92" spans="1:19" s="21" customFormat="1" ht="18" customHeight="1">
      <c r="A92" s="280"/>
      <c r="B92" s="211" t="s">
        <v>96</v>
      </c>
      <c r="C92" s="278"/>
      <c r="D92" s="251" t="s">
        <v>72</v>
      </c>
      <c r="E92" s="251" t="s">
        <v>72</v>
      </c>
      <c r="F92" s="251" t="s">
        <v>72</v>
      </c>
      <c r="G92" s="251" t="s">
        <v>72</v>
      </c>
      <c r="H92" s="251" t="s">
        <v>72</v>
      </c>
      <c r="I92" s="251" t="s">
        <v>72</v>
      </c>
      <c r="J92" s="251" t="s">
        <v>72</v>
      </c>
      <c r="K92" s="251" t="s">
        <v>72</v>
      </c>
      <c r="L92" s="251" t="s">
        <v>72</v>
      </c>
      <c r="M92" s="251" t="s">
        <v>72</v>
      </c>
      <c r="N92" s="251" t="s">
        <v>72</v>
      </c>
      <c r="O92" s="251" t="s">
        <v>72</v>
      </c>
      <c r="P92" s="251" t="s">
        <v>72</v>
      </c>
      <c r="Q92" s="63">
        <v>1</v>
      </c>
      <c r="R92" s="169">
        <v>1</v>
      </c>
      <c r="S92" s="20">
        <v>1</v>
      </c>
    </row>
    <row r="93" spans="1:19" s="21" customFormat="1" ht="18" customHeight="1">
      <c r="A93" s="280"/>
      <c r="B93" s="211" t="s">
        <v>97</v>
      </c>
      <c r="C93" s="278"/>
      <c r="D93" s="251" t="s">
        <v>72</v>
      </c>
      <c r="E93" s="251" t="s">
        <v>72</v>
      </c>
      <c r="F93" s="251" t="s">
        <v>72</v>
      </c>
      <c r="G93" s="251" t="s">
        <v>72</v>
      </c>
      <c r="H93" s="251" t="s">
        <v>72</v>
      </c>
      <c r="I93" s="251" t="s">
        <v>72</v>
      </c>
      <c r="J93" s="251" t="s">
        <v>72</v>
      </c>
      <c r="K93" s="251" t="s">
        <v>72</v>
      </c>
      <c r="L93" s="251" t="s">
        <v>72</v>
      </c>
      <c r="M93" s="251" t="s">
        <v>72</v>
      </c>
      <c r="N93" s="251" t="s">
        <v>72</v>
      </c>
      <c r="O93" s="251" t="s">
        <v>72</v>
      </c>
      <c r="P93" s="251" t="s">
        <v>72</v>
      </c>
      <c r="Q93" s="63">
        <v>1</v>
      </c>
      <c r="R93" s="63">
        <v>1</v>
      </c>
      <c r="S93" s="38">
        <v>1</v>
      </c>
    </row>
    <row r="94" spans="1:19" s="21" customFormat="1" ht="18" customHeight="1">
      <c r="A94" s="280"/>
      <c r="B94" s="211" t="s">
        <v>98</v>
      </c>
      <c r="C94" s="278"/>
      <c r="D94" s="251" t="s">
        <v>72</v>
      </c>
      <c r="E94" s="251" t="s">
        <v>72</v>
      </c>
      <c r="F94" s="251" t="s">
        <v>72</v>
      </c>
      <c r="G94" s="251" t="s">
        <v>72</v>
      </c>
      <c r="H94" s="251" t="s">
        <v>72</v>
      </c>
      <c r="I94" s="251" t="s">
        <v>72</v>
      </c>
      <c r="J94" s="251" t="s">
        <v>72</v>
      </c>
      <c r="K94" s="251" t="s">
        <v>72</v>
      </c>
      <c r="L94" s="251" t="s">
        <v>72</v>
      </c>
      <c r="M94" s="251" t="s">
        <v>72</v>
      </c>
      <c r="N94" s="251" t="s">
        <v>72</v>
      </c>
      <c r="O94" s="251" t="s">
        <v>72</v>
      </c>
      <c r="P94" s="251" t="s">
        <v>72</v>
      </c>
      <c r="Q94" s="63">
        <v>3</v>
      </c>
      <c r="R94" s="63">
        <v>1</v>
      </c>
      <c r="S94" s="38">
        <v>0</v>
      </c>
    </row>
    <row r="95" spans="1:19" s="21" customFormat="1" ht="18" customHeight="1">
      <c r="A95" s="280"/>
      <c r="B95" s="253" t="s">
        <v>99</v>
      </c>
      <c r="C95" s="283"/>
      <c r="D95" s="284" t="s">
        <v>72</v>
      </c>
      <c r="E95" s="284" t="s">
        <v>72</v>
      </c>
      <c r="F95" s="284" t="s">
        <v>72</v>
      </c>
      <c r="G95" s="284" t="s">
        <v>72</v>
      </c>
      <c r="H95" s="284" t="s">
        <v>72</v>
      </c>
      <c r="I95" s="284" t="s">
        <v>72</v>
      </c>
      <c r="J95" s="284" t="s">
        <v>72</v>
      </c>
      <c r="K95" s="284" t="s">
        <v>72</v>
      </c>
      <c r="L95" s="284" t="s">
        <v>72</v>
      </c>
      <c r="M95" s="284" t="s">
        <v>72</v>
      </c>
      <c r="N95" s="284" t="s">
        <v>72</v>
      </c>
      <c r="O95" s="284" t="s">
        <v>72</v>
      </c>
      <c r="P95" s="284" t="s">
        <v>72</v>
      </c>
      <c r="Q95" s="111">
        <f>SUM(Q91:Q94)</f>
        <v>5</v>
      </c>
      <c r="R95" s="63">
        <v>3</v>
      </c>
      <c r="S95" s="20">
        <v>3</v>
      </c>
    </row>
    <row r="96" spans="1:19" s="21" customFormat="1" ht="18" customHeight="1" thickBot="1">
      <c r="A96" s="264"/>
      <c r="B96" s="265" t="s">
        <v>100</v>
      </c>
      <c r="C96" s="285"/>
      <c r="D96" s="276" t="s">
        <v>72</v>
      </c>
      <c r="E96" s="276" t="s">
        <v>72</v>
      </c>
      <c r="F96" s="276" t="s">
        <v>72</v>
      </c>
      <c r="G96" s="276" t="s">
        <v>72</v>
      </c>
      <c r="H96" s="276" t="s">
        <v>72</v>
      </c>
      <c r="I96" s="276" t="s">
        <v>72</v>
      </c>
      <c r="J96" s="276" t="s">
        <v>72</v>
      </c>
      <c r="K96" s="276" t="s">
        <v>72</v>
      </c>
      <c r="L96" s="276" t="s">
        <v>72</v>
      </c>
      <c r="M96" s="276" t="s">
        <v>72</v>
      </c>
      <c r="N96" s="276" t="s">
        <v>72</v>
      </c>
      <c r="O96" s="276" t="s">
        <v>72</v>
      </c>
      <c r="P96" s="276" t="s">
        <v>72</v>
      </c>
      <c r="Q96" s="73">
        <f>Q95/Q33*100000</f>
        <v>0.18037524544561523</v>
      </c>
      <c r="R96" s="73">
        <v>0.11181746618639823</v>
      </c>
      <c r="S96" s="74">
        <v>0.11524038760720237</v>
      </c>
    </row>
    <row r="97" spans="1:19" s="21" customFormat="1" ht="24.75" customHeight="1" thickTop="1">
      <c r="A97" s="217"/>
      <c r="B97" s="286" t="s">
        <v>102</v>
      </c>
      <c r="C97" s="287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127"/>
      <c r="R97" s="120"/>
      <c r="S97" s="14"/>
    </row>
    <row r="98" spans="1:19" s="21" customFormat="1">
      <c r="A98" s="210">
        <v>23</v>
      </c>
      <c r="B98" s="211" t="s">
        <v>103</v>
      </c>
      <c r="C98" s="288"/>
      <c r="D98" s="209">
        <v>120</v>
      </c>
      <c r="E98" s="209">
        <v>84</v>
      </c>
      <c r="F98" s="209">
        <v>109</v>
      </c>
      <c r="G98" s="209">
        <v>44</v>
      </c>
      <c r="H98" s="209">
        <v>75</v>
      </c>
      <c r="I98" s="209">
        <v>48</v>
      </c>
      <c r="J98" s="209">
        <v>53</v>
      </c>
      <c r="K98" s="209">
        <v>41</v>
      </c>
      <c r="L98" s="209">
        <v>23</v>
      </c>
      <c r="M98" s="209">
        <v>84</v>
      </c>
      <c r="N98" s="209">
        <v>9</v>
      </c>
      <c r="O98" s="209">
        <v>44</v>
      </c>
      <c r="P98" s="209">
        <v>26</v>
      </c>
      <c r="Q98" s="19">
        <f>SUM(C98:P98)</f>
        <v>760</v>
      </c>
      <c r="R98" s="76">
        <v>910</v>
      </c>
      <c r="S98" s="38">
        <v>867</v>
      </c>
    </row>
    <row r="99" spans="1:19" s="15" customFormat="1" ht="25.5">
      <c r="A99" s="232">
        <v>24</v>
      </c>
      <c r="B99" s="224" t="s">
        <v>104</v>
      </c>
      <c r="C99" s="289"/>
      <c r="D99" s="226">
        <f t="shared" ref="D99:Q99" si="33">SUM(D98/D48*10000)</f>
        <v>2.0490718558273042</v>
      </c>
      <c r="E99" s="226">
        <f t="shared" si="33"/>
        <v>1.100538084513464</v>
      </c>
      <c r="F99" s="226">
        <f t="shared" si="33"/>
        <v>1.6970474488238994</v>
      </c>
      <c r="G99" s="226">
        <f t="shared" si="33"/>
        <v>0.82736626752512188</v>
      </c>
      <c r="H99" s="226">
        <f t="shared" si="33"/>
        <v>1.1233363388821156</v>
      </c>
      <c r="I99" s="226">
        <f t="shared" si="33"/>
        <v>1.4812117546496162</v>
      </c>
      <c r="J99" s="226">
        <f t="shared" si="33"/>
        <v>1.1144333842187821</v>
      </c>
      <c r="K99" s="226">
        <f t="shared" si="33"/>
        <v>0.86844903475067037</v>
      </c>
      <c r="L99" s="226">
        <f t="shared" si="33"/>
        <v>0.66158302435488459</v>
      </c>
      <c r="M99" s="226">
        <f t="shared" si="33"/>
        <v>1.3110373739297096</v>
      </c>
      <c r="N99" s="226">
        <f t="shared" si="33"/>
        <v>0.89041028127071431</v>
      </c>
      <c r="O99" s="226">
        <f t="shared" si="33"/>
        <v>1.3700762883387825</v>
      </c>
      <c r="P99" s="226">
        <f t="shared" si="33"/>
        <v>1.0059817220859417</v>
      </c>
      <c r="Q99" s="42">
        <f t="shared" si="33"/>
        <v>1.2395136735483052</v>
      </c>
      <c r="R99" s="168">
        <v>1.4920300183322941</v>
      </c>
      <c r="S99" s="98">
        <v>1.4537666977764916</v>
      </c>
    </row>
    <row r="100" spans="1:19" s="130" customFormat="1" ht="25.5">
      <c r="A100" s="206">
        <v>25</v>
      </c>
      <c r="B100" s="207" t="s">
        <v>105</v>
      </c>
      <c r="C100" s="287"/>
      <c r="D100" s="209">
        <v>136787</v>
      </c>
      <c r="E100" s="209">
        <v>20448</v>
      </c>
      <c r="F100" s="209">
        <v>120566</v>
      </c>
      <c r="G100" s="209">
        <f>122269+5585</f>
        <v>127854</v>
      </c>
      <c r="H100" s="209">
        <v>139770</v>
      </c>
      <c r="I100" s="209">
        <v>109149</v>
      </c>
      <c r="J100" s="209">
        <v>156760</v>
      </c>
      <c r="K100" s="209">
        <v>74306</v>
      </c>
      <c r="L100" s="209">
        <v>51527</v>
      </c>
      <c r="M100" s="209">
        <v>27650</v>
      </c>
      <c r="N100" s="209">
        <v>8696</v>
      </c>
      <c r="O100" s="209">
        <v>9762</v>
      </c>
      <c r="P100" s="209">
        <v>22935</v>
      </c>
      <c r="Q100" s="44">
        <f>SUM(C100:P100)</f>
        <v>1006210</v>
      </c>
      <c r="R100" s="13">
        <v>1209377</v>
      </c>
      <c r="S100" s="38">
        <v>1191329</v>
      </c>
    </row>
    <row r="101" spans="1:19" s="33" customFormat="1" ht="25.5">
      <c r="A101" s="244"/>
      <c r="B101" s="211" t="s">
        <v>106</v>
      </c>
      <c r="C101" s="290"/>
      <c r="D101" s="222">
        <f>D100/C5</f>
        <v>4559.5666666666666</v>
      </c>
      <c r="E101" s="222">
        <f>E100/C5</f>
        <v>681.6</v>
      </c>
      <c r="F101" s="222">
        <f>F100/C5</f>
        <v>4018.8666666666668</v>
      </c>
      <c r="G101" s="222">
        <f>G100/C5</f>
        <v>4261.8</v>
      </c>
      <c r="H101" s="222">
        <f>H100/C5</f>
        <v>4659</v>
      </c>
      <c r="I101" s="222">
        <f>I100/C5</f>
        <v>3638.3</v>
      </c>
      <c r="J101" s="222">
        <f>J100/C5</f>
        <v>5225.333333333333</v>
      </c>
      <c r="K101" s="222">
        <f>K100/C5</f>
        <v>2476.8666666666668</v>
      </c>
      <c r="L101" s="222">
        <f>L100/C5</f>
        <v>1717.5666666666666</v>
      </c>
      <c r="M101" s="222">
        <f>M100/C5</f>
        <v>921.66666666666663</v>
      </c>
      <c r="N101" s="222">
        <f>N100/C5</f>
        <v>289.86666666666667</v>
      </c>
      <c r="O101" s="222">
        <f>O100/C5</f>
        <v>325.39999999999998</v>
      </c>
      <c r="P101" s="222">
        <f>P100/C5</f>
        <v>764.5</v>
      </c>
      <c r="Q101" s="37">
        <f>Q100/C5</f>
        <v>33540.333333333336</v>
      </c>
      <c r="R101" s="128">
        <v>39012.161290322583</v>
      </c>
      <c r="S101" s="316">
        <v>39710.966666666667</v>
      </c>
    </row>
    <row r="102" spans="1:19" ht="25.5">
      <c r="A102" s="210"/>
      <c r="B102" s="211" t="s">
        <v>107</v>
      </c>
      <c r="C102" s="278"/>
      <c r="D102" s="271">
        <v>58.46</v>
      </c>
      <c r="E102" s="271">
        <v>61.96</v>
      </c>
      <c r="F102" s="271">
        <v>60.89</v>
      </c>
      <c r="G102" s="271">
        <v>64.569999999999993</v>
      </c>
      <c r="H102" s="271">
        <v>72.8</v>
      </c>
      <c r="I102" s="271">
        <v>69.97</v>
      </c>
      <c r="J102" s="271">
        <v>66.14</v>
      </c>
      <c r="K102" s="271">
        <v>63.51</v>
      </c>
      <c r="L102" s="271">
        <v>71.569999999999993</v>
      </c>
      <c r="M102" s="271">
        <v>61.44</v>
      </c>
      <c r="N102" s="271">
        <v>48.31</v>
      </c>
      <c r="O102" s="271">
        <v>54.23</v>
      </c>
      <c r="P102" s="271">
        <v>54.61</v>
      </c>
      <c r="Q102" s="97">
        <v>64.5</v>
      </c>
      <c r="R102" s="44">
        <v>63.95</v>
      </c>
      <c r="S102" s="96">
        <v>64.150000000000006</v>
      </c>
    </row>
    <row r="103" spans="1:19" ht="25.5">
      <c r="A103" s="210"/>
      <c r="B103" s="211" t="s">
        <v>108</v>
      </c>
      <c r="C103" s="278"/>
      <c r="D103" s="209">
        <v>49922</v>
      </c>
      <c r="E103" s="209">
        <v>232924</v>
      </c>
      <c r="F103" s="209">
        <v>94654</v>
      </c>
      <c r="G103" s="209">
        <v>50801</v>
      </c>
      <c r="H103" s="209">
        <v>69207</v>
      </c>
      <c r="I103" s="209">
        <v>0</v>
      </c>
      <c r="J103" s="209">
        <v>9016</v>
      </c>
      <c r="K103" s="209">
        <v>56812</v>
      </c>
      <c r="L103" s="209">
        <v>41415</v>
      </c>
      <c r="M103" s="209">
        <v>173882</v>
      </c>
      <c r="N103" s="209">
        <v>26787</v>
      </c>
      <c r="O103" s="209">
        <v>99312</v>
      </c>
      <c r="P103" s="209">
        <v>56929</v>
      </c>
      <c r="Q103" s="37">
        <f>SUM(C103:P103)</f>
        <v>961661</v>
      </c>
      <c r="R103" s="37">
        <v>788818</v>
      </c>
      <c r="S103" s="317">
        <v>724917</v>
      </c>
    </row>
    <row r="104" spans="1:19" ht="25.5">
      <c r="A104" s="210"/>
      <c r="B104" s="211" t="s">
        <v>109</v>
      </c>
      <c r="C104" s="278"/>
      <c r="D104" s="222">
        <f>D103/C5</f>
        <v>1664.0666666666666</v>
      </c>
      <c r="E104" s="222">
        <f>E103/C5</f>
        <v>7764.1333333333332</v>
      </c>
      <c r="F104" s="222">
        <f>F103/C5</f>
        <v>3155.1333333333332</v>
      </c>
      <c r="G104" s="222">
        <f>G103/C5</f>
        <v>1693.3666666666666</v>
      </c>
      <c r="H104" s="222">
        <f>H103/C5</f>
        <v>2306.9</v>
      </c>
      <c r="I104" s="222">
        <f>I103/C5</f>
        <v>0</v>
      </c>
      <c r="J104" s="222">
        <f>J103/C5</f>
        <v>300.53333333333336</v>
      </c>
      <c r="K104" s="222">
        <f>K103/C5</f>
        <v>1893.7333333333333</v>
      </c>
      <c r="L104" s="222">
        <f>L103/C5</f>
        <v>1380.5</v>
      </c>
      <c r="M104" s="222">
        <f>M103/C5</f>
        <v>5796.0666666666666</v>
      </c>
      <c r="N104" s="222">
        <f>N103/C5</f>
        <v>892.9</v>
      </c>
      <c r="O104" s="222">
        <f>O103/C5</f>
        <v>3310.4</v>
      </c>
      <c r="P104" s="222">
        <f>P103/C5</f>
        <v>1897.6333333333334</v>
      </c>
      <c r="Q104" s="37">
        <f>Q103/31</f>
        <v>31021.322580645163</v>
      </c>
      <c r="R104" s="37">
        <v>25445.741935483871</v>
      </c>
      <c r="S104" s="38">
        <v>24163.9</v>
      </c>
    </row>
    <row r="105" spans="1:19" s="15" customFormat="1" ht="25.5">
      <c r="A105" s="291"/>
      <c r="B105" s="207" t="s">
        <v>110</v>
      </c>
      <c r="C105" s="292"/>
      <c r="D105" s="271">
        <v>70.599999999999994</v>
      </c>
      <c r="E105" s="271">
        <v>73.400000000000006</v>
      </c>
      <c r="F105" s="271">
        <v>66.66</v>
      </c>
      <c r="G105" s="271">
        <v>58.68</v>
      </c>
      <c r="H105" s="271">
        <v>73.12</v>
      </c>
      <c r="I105" s="271">
        <v>0</v>
      </c>
      <c r="J105" s="271">
        <v>53.8</v>
      </c>
      <c r="K105" s="271">
        <v>76.739999999999995</v>
      </c>
      <c r="L105" s="271">
        <v>74.069999999999993</v>
      </c>
      <c r="M105" s="271">
        <v>77.78</v>
      </c>
      <c r="N105" s="271">
        <v>66.010000000000005</v>
      </c>
      <c r="O105" s="271">
        <v>76.44</v>
      </c>
      <c r="P105" s="271">
        <v>71.25</v>
      </c>
      <c r="Q105" s="133">
        <v>71.72</v>
      </c>
      <c r="R105" s="107">
        <v>73.02</v>
      </c>
      <c r="S105" s="108">
        <v>74.430000000000007</v>
      </c>
    </row>
    <row r="106" spans="1:19" s="21" customFormat="1">
      <c r="A106" s="256">
        <v>26</v>
      </c>
      <c r="B106" s="257" t="s">
        <v>111</v>
      </c>
      <c r="C106" s="281"/>
      <c r="D106" s="293">
        <f>SUM(D46/D100)</f>
        <v>3.2920379860659272</v>
      </c>
      <c r="E106" s="293">
        <f>SUM(E46/E100)</f>
        <v>3.5814749608763692</v>
      </c>
      <c r="F106" s="293">
        <f t="shared" ref="F106:O106" si="34">SUM(F46/F100)</f>
        <v>3.0959806247200703</v>
      </c>
      <c r="G106" s="293">
        <f t="shared" si="34"/>
        <v>2.895904703802775</v>
      </c>
      <c r="H106" s="293">
        <f t="shared" si="34"/>
        <v>3.2069041997567433</v>
      </c>
      <c r="I106" s="293">
        <f t="shared" si="34"/>
        <v>2.9689598622067082</v>
      </c>
      <c r="J106" s="293">
        <f t="shared" si="34"/>
        <v>2.8344284256187802</v>
      </c>
      <c r="K106" s="293">
        <f t="shared" si="34"/>
        <v>3.9037359028880574</v>
      </c>
      <c r="L106" s="293">
        <f t="shared" si="34"/>
        <v>3.8226366759174804</v>
      </c>
      <c r="M106" s="293">
        <f t="shared" si="34"/>
        <v>3.9852441229656419</v>
      </c>
      <c r="N106" s="293">
        <f t="shared" si="34"/>
        <v>3.7623045078196871</v>
      </c>
      <c r="O106" s="293">
        <f t="shared" si="34"/>
        <v>3.8204261421839787</v>
      </c>
      <c r="P106" s="293">
        <f>SUM(P46/P100)</f>
        <v>3.9489426640505778</v>
      </c>
      <c r="Q106" s="94">
        <f>SUM(Q46/Q100)</f>
        <v>3.2214855745818469</v>
      </c>
      <c r="R106" s="145">
        <v>3.1927810765377544</v>
      </c>
      <c r="S106" s="140">
        <v>3.2605174557154237</v>
      </c>
    </row>
    <row r="107" spans="1:19" s="21" customFormat="1">
      <c r="A107" s="210"/>
      <c r="B107" s="207" t="s">
        <v>112</v>
      </c>
      <c r="C107" s="278"/>
      <c r="D107" s="269">
        <f>SUM(D47/D103)</f>
        <v>2.710688674331958</v>
      </c>
      <c r="E107" s="269">
        <f>SUM(E47/E103)</f>
        <v>2.9624641513970222</v>
      </c>
      <c r="F107" s="269">
        <f>SUM(F47/F103)</f>
        <v>2.8421619794197817</v>
      </c>
      <c r="G107" s="269">
        <f>SUM(G47/G103)</f>
        <v>3.1801539339776776</v>
      </c>
      <c r="H107" s="269">
        <f>SUM(H47/H103)</f>
        <v>3.1705607814238443</v>
      </c>
      <c r="I107" s="269">
        <v>0</v>
      </c>
      <c r="J107" s="269">
        <f>SUM(J47/J103)</f>
        <v>3.4663930789707189</v>
      </c>
      <c r="K107" s="269">
        <f t="shared" ref="K107:Q107" si="35">SUM(K47/K103)</f>
        <v>3.2041646131099064</v>
      </c>
      <c r="L107" s="269">
        <f t="shared" si="35"/>
        <v>3.6383435953157068</v>
      </c>
      <c r="M107" s="269">
        <f t="shared" si="35"/>
        <v>3.051046111730944</v>
      </c>
      <c r="N107" s="269">
        <f t="shared" si="35"/>
        <v>2.5519841714264384</v>
      </c>
      <c r="O107" s="269">
        <f t="shared" si="35"/>
        <v>2.8582145158691801</v>
      </c>
      <c r="P107" s="269">
        <f>SUM(P47/P103)</f>
        <v>2.949024223155158</v>
      </c>
      <c r="Q107" s="97">
        <f t="shared" si="35"/>
        <v>3.0051608622997086</v>
      </c>
      <c r="R107" s="90">
        <v>2.8368990058543289</v>
      </c>
      <c r="S107" s="98">
        <v>2.8685615042825594</v>
      </c>
    </row>
    <row r="108" spans="1:19" s="21" customFormat="1" ht="25.5">
      <c r="A108" s="217">
        <v>27</v>
      </c>
      <c r="B108" s="207" t="s">
        <v>113</v>
      </c>
      <c r="C108" s="294"/>
      <c r="D108" s="209">
        <v>1116</v>
      </c>
      <c r="E108" s="209">
        <v>597</v>
      </c>
      <c r="F108" s="209">
        <v>1051</v>
      </c>
      <c r="G108" s="209">
        <v>421</v>
      </c>
      <c r="H108" s="209">
        <v>974</v>
      </c>
      <c r="I108" s="209">
        <v>505</v>
      </c>
      <c r="J108" s="209">
        <v>550</v>
      </c>
      <c r="K108" s="209">
        <v>515</v>
      </c>
      <c r="L108" s="209">
        <v>418</v>
      </c>
      <c r="M108" s="209">
        <v>698</v>
      </c>
      <c r="N108" s="209">
        <v>229</v>
      </c>
      <c r="O108" s="209">
        <v>623</v>
      </c>
      <c r="P108" s="209">
        <v>517</v>
      </c>
      <c r="Q108" s="44">
        <f>SUM(D108:P108)</f>
        <v>8214</v>
      </c>
      <c r="R108" s="45">
        <v>9096</v>
      </c>
      <c r="S108" s="38">
        <v>9071</v>
      </c>
    </row>
    <row r="109" spans="1:19" s="21" customFormat="1" ht="25.5">
      <c r="A109" s="210"/>
      <c r="B109" s="207" t="s">
        <v>178</v>
      </c>
      <c r="C109" s="278"/>
      <c r="D109" s="295">
        <f t="shared" ref="D109:Q109" si="36">SUM(D108)/$C5</f>
        <v>37.200000000000003</v>
      </c>
      <c r="E109" s="295">
        <f t="shared" si="36"/>
        <v>19.899999999999999</v>
      </c>
      <c r="F109" s="295">
        <f t="shared" si="36"/>
        <v>35.033333333333331</v>
      </c>
      <c r="G109" s="295">
        <f t="shared" si="36"/>
        <v>14.033333333333333</v>
      </c>
      <c r="H109" s="295">
        <f t="shared" si="36"/>
        <v>32.466666666666669</v>
      </c>
      <c r="I109" s="295">
        <f t="shared" si="36"/>
        <v>16.833333333333332</v>
      </c>
      <c r="J109" s="295">
        <f t="shared" si="36"/>
        <v>18.333333333333332</v>
      </c>
      <c r="K109" s="295">
        <f t="shared" si="36"/>
        <v>17.166666666666668</v>
      </c>
      <c r="L109" s="295">
        <f t="shared" si="36"/>
        <v>13.933333333333334</v>
      </c>
      <c r="M109" s="295">
        <f t="shared" si="36"/>
        <v>23.266666666666666</v>
      </c>
      <c r="N109" s="295">
        <f t="shared" si="36"/>
        <v>7.6333333333333337</v>
      </c>
      <c r="O109" s="295">
        <f t="shared" si="36"/>
        <v>20.766666666666666</v>
      </c>
      <c r="P109" s="295">
        <f t="shared" si="36"/>
        <v>17.233333333333334</v>
      </c>
      <c r="Q109" s="136">
        <f t="shared" si="36"/>
        <v>273.8</v>
      </c>
      <c r="R109" s="97">
        <v>293.41935483870969</v>
      </c>
      <c r="S109" s="91">
        <v>302.36666666666667</v>
      </c>
    </row>
    <row r="110" spans="1:19" s="21" customFormat="1">
      <c r="A110" s="210">
        <v>28</v>
      </c>
      <c r="B110" s="211" t="s">
        <v>115</v>
      </c>
      <c r="C110" s="274"/>
      <c r="D110" s="295">
        <f t="shared" ref="D110:Q110" si="37">SUM(D48/D108)</f>
        <v>524.75896057347666</v>
      </c>
      <c r="E110" s="295">
        <f t="shared" si="37"/>
        <v>1278.497487437186</v>
      </c>
      <c r="F110" s="295">
        <f t="shared" si="37"/>
        <v>611.12464319695528</v>
      </c>
      <c r="G110" s="295">
        <f t="shared" si="37"/>
        <v>1263.2019002375298</v>
      </c>
      <c r="H110" s="295">
        <f t="shared" si="37"/>
        <v>685.476386036961</v>
      </c>
      <c r="I110" s="295">
        <f t="shared" si="37"/>
        <v>641.70099009900991</v>
      </c>
      <c r="J110" s="295">
        <f t="shared" si="37"/>
        <v>864.68727272727267</v>
      </c>
      <c r="K110" s="295">
        <f t="shared" si="37"/>
        <v>916.71067961165045</v>
      </c>
      <c r="L110" s="295">
        <f t="shared" si="37"/>
        <v>831.70095693779899</v>
      </c>
      <c r="M110" s="295">
        <f t="shared" si="37"/>
        <v>917.92836676217769</v>
      </c>
      <c r="N110" s="295">
        <f t="shared" si="37"/>
        <v>441.38427947598251</v>
      </c>
      <c r="O110" s="295">
        <f t="shared" si="37"/>
        <v>515.48956661316208</v>
      </c>
      <c r="P110" s="295">
        <f t="shared" si="37"/>
        <v>499.9110251450677</v>
      </c>
      <c r="Q110" s="136">
        <f t="shared" si="37"/>
        <v>746.46177258339424</v>
      </c>
      <c r="R110" s="145">
        <v>670.52253737906767</v>
      </c>
      <c r="S110" s="38">
        <v>657.45981699922834</v>
      </c>
    </row>
    <row r="111" spans="1:19" s="21" customFormat="1" ht="25.5">
      <c r="A111" s="210">
        <v>29</v>
      </c>
      <c r="B111" s="211" t="s">
        <v>116</v>
      </c>
      <c r="C111" s="274"/>
      <c r="D111" s="209">
        <v>15</v>
      </c>
      <c r="E111" s="209">
        <v>30</v>
      </c>
      <c r="F111" s="209">
        <v>25</v>
      </c>
      <c r="G111" s="209">
        <v>10</v>
      </c>
      <c r="H111" s="209">
        <v>18</v>
      </c>
      <c r="I111" s="209">
        <v>10</v>
      </c>
      <c r="J111" s="209">
        <v>16</v>
      </c>
      <c r="K111" s="209">
        <v>13</v>
      </c>
      <c r="L111" s="209">
        <v>12</v>
      </c>
      <c r="M111" s="209">
        <v>9</v>
      </c>
      <c r="N111" s="209">
        <v>5</v>
      </c>
      <c r="O111" s="209">
        <v>9</v>
      </c>
      <c r="P111" s="209">
        <v>8</v>
      </c>
      <c r="Q111" s="137">
        <f>SUM(D111:P111)</f>
        <v>180</v>
      </c>
      <c r="R111" s="185">
        <v>193</v>
      </c>
      <c r="S111" s="38">
        <v>230</v>
      </c>
    </row>
    <row r="112" spans="1:19" s="21" customFormat="1">
      <c r="A112" s="210">
        <v>30</v>
      </c>
      <c r="B112" s="211" t="s">
        <v>180</v>
      </c>
      <c r="C112" s="278"/>
      <c r="D112" s="272">
        <v>47358.066666666666</v>
      </c>
      <c r="E112" s="272">
        <v>51824.033333333333</v>
      </c>
      <c r="F112" s="272">
        <v>56332.44</v>
      </c>
      <c r="G112" s="272">
        <v>48373.9</v>
      </c>
      <c r="H112" s="272">
        <v>46052.444444444445</v>
      </c>
      <c r="I112" s="272">
        <v>53477.4</v>
      </c>
      <c r="J112" s="272">
        <v>61830.5</v>
      </c>
      <c r="K112" s="272">
        <v>46187.230769230766</v>
      </c>
      <c r="L112" s="272">
        <v>43083</v>
      </c>
      <c r="M112" s="272">
        <v>58884.666666666664</v>
      </c>
      <c r="N112" s="272">
        <v>58476.2</v>
      </c>
      <c r="O112" s="272">
        <v>51291.222222222219</v>
      </c>
      <c r="P112" s="272">
        <v>47752</v>
      </c>
      <c r="Q112" s="138">
        <v>51630.87777777778</v>
      </c>
      <c r="R112" s="185">
        <v>45656.74611398964</v>
      </c>
      <c r="S112" s="38">
        <v>47622.804347826088</v>
      </c>
    </row>
    <row r="113" spans="1:20" s="21" customFormat="1" ht="25.5">
      <c r="A113" s="252">
        <v>31</v>
      </c>
      <c r="B113" s="253" t="s">
        <v>118</v>
      </c>
      <c r="C113" s="292"/>
      <c r="D113" s="209">
        <v>54</v>
      </c>
      <c r="E113" s="209">
        <v>21</v>
      </c>
      <c r="F113" s="209">
        <v>29</v>
      </c>
      <c r="G113" s="209">
        <v>17</v>
      </c>
      <c r="H113" s="209">
        <v>38</v>
      </c>
      <c r="I113" s="209">
        <v>14</v>
      </c>
      <c r="J113" s="209">
        <v>29</v>
      </c>
      <c r="K113" s="209">
        <v>10</v>
      </c>
      <c r="L113" s="209">
        <v>10</v>
      </c>
      <c r="M113" s="209">
        <v>18</v>
      </c>
      <c r="N113" s="209">
        <v>6</v>
      </c>
      <c r="O113" s="209">
        <v>10</v>
      </c>
      <c r="P113" s="209">
        <v>9</v>
      </c>
      <c r="Q113" s="137">
        <f>SUM(D113:P113)</f>
        <v>265</v>
      </c>
      <c r="R113" s="137">
        <v>160</v>
      </c>
      <c r="S113" s="180">
        <v>273</v>
      </c>
    </row>
    <row r="114" spans="1:20" s="15" customFormat="1" ht="15" thickBot="1">
      <c r="A114" s="296">
        <v>32</v>
      </c>
      <c r="B114" s="265" t="s">
        <v>179</v>
      </c>
      <c r="C114" s="275"/>
      <c r="D114" s="297">
        <v>38283.944444444445</v>
      </c>
      <c r="E114" s="297">
        <v>38522.619047619046</v>
      </c>
      <c r="F114" s="297">
        <v>45993.758620689652</v>
      </c>
      <c r="G114" s="297">
        <v>37387.882352941175</v>
      </c>
      <c r="H114" s="297">
        <v>35893.631578947367</v>
      </c>
      <c r="I114" s="297">
        <v>41264.285714285717</v>
      </c>
      <c r="J114" s="297">
        <v>45722.724137931036</v>
      </c>
      <c r="K114" s="297">
        <v>38200.199999999997</v>
      </c>
      <c r="L114" s="297">
        <v>38856</v>
      </c>
      <c r="M114" s="297">
        <v>56553.333333333336</v>
      </c>
      <c r="N114" s="297">
        <v>20940</v>
      </c>
      <c r="O114" s="297">
        <v>36370</v>
      </c>
      <c r="P114" s="297">
        <v>41234.444444444445</v>
      </c>
      <c r="Q114" s="184">
        <v>40612.490566037734</v>
      </c>
      <c r="R114" s="103">
        <v>38760.168749999997</v>
      </c>
      <c r="S114" s="342">
        <v>38518.490842490843</v>
      </c>
    </row>
    <row r="115" spans="1:20" s="15" customFormat="1" ht="30" customHeight="1" thickTop="1">
      <c r="B115" s="331" t="s">
        <v>120</v>
      </c>
      <c r="C115" s="287"/>
      <c r="D115" s="209"/>
      <c r="E115" s="209"/>
      <c r="F115" s="209"/>
      <c r="G115" s="209"/>
      <c r="H115" s="209"/>
      <c r="I115" s="209"/>
      <c r="J115" s="209" t="s">
        <v>121</v>
      </c>
      <c r="K115" s="209"/>
      <c r="L115" s="209"/>
      <c r="M115" s="209"/>
      <c r="N115" s="209"/>
      <c r="O115" s="209"/>
      <c r="P115" s="209"/>
      <c r="Q115" s="13"/>
      <c r="R115" s="127"/>
      <c r="S115" s="178"/>
    </row>
    <row r="116" spans="1:20" s="21" customFormat="1">
      <c r="A116" s="210">
        <v>33</v>
      </c>
      <c r="B116" s="245" t="s">
        <v>122</v>
      </c>
      <c r="C116" s="298" t="s">
        <v>123</v>
      </c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97"/>
      <c r="R116" s="37"/>
      <c r="S116" s="38"/>
    </row>
    <row r="117" spans="1:20" s="21" customFormat="1">
      <c r="A117" s="210"/>
      <c r="B117" s="211" t="s">
        <v>124</v>
      </c>
      <c r="C117" s="299">
        <v>1</v>
      </c>
      <c r="D117" s="251" t="s">
        <v>72</v>
      </c>
      <c r="E117" s="251" t="s">
        <v>72</v>
      </c>
      <c r="F117" s="251" t="s">
        <v>72</v>
      </c>
      <c r="G117" s="251" t="s">
        <v>72</v>
      </c>
      <c r="H117" s="251" t="s">
        <v>72</v>
      </c>
      <c r="I117" s="251" t="s">
        <v>72</v>
      </c>
      <c r="J117" s="251" t="s">
        <v>72</v>
      </c>
      <c r="K117" s="251" t="s">
        <v>72</v>
      </c>
      <c r="L117" s="251" t="s">
        <v>72</v>
      </c>
      <c r="M117" s="251" t="s">
        <v>72</v>
      </c>
      <c r="N117" s="251" t="s">
        <v>72</v>
      </c>
      <c r="O117" s="251" t="s">
        <v>72</v>
      </c>
      <c r="P117" s="251" t="s">
        <v>72</v>
      </c>
      <c r="Q117" s="97">
        <v>0.45</v>
      </c>
      <c r="R117" s="100">
        <v>0.47</v>
      </c>
      <c r="S117" s="181">
        <v>0.49</v>
      </c>
    </row>
    <row r="118" spans="1:20" s="21" customFormat="1">
      <c r="A118" s="210"/>
      <c r="B118" s="211" t="s">
        <v>125</v>
      </c>
      <c r="C118" s="299">
        <v>6.5</v>
      </c>
      <c r="D118" s="251" t="s">
        <v>72</v>
      </c>
      <c r="E118" s="251" t="s">
        <v>72</v>
      </c>
      <c r="F118" s="251" t="s">
        <v>72</v>
      </c>
      <c r="G118" s="251" t="s">
        <v>72</v>
      </c>
      <c r="H118" s="251" t="s">
        <v>72</v>
      </c>
      <c r="I118" s="251" t="s">
        <v>72</v>
      </c>
      <c r="J118" s="251" t="s">
        <v>72</v>
      </c>
      <c r="K118" s="251" t="s">
        <v>72</v>
      </c>
      <c r="L118" s="251" t="s">
        <v>72</v>
      </c>
      <c r="M118" s="251" t="s">
        <v>72</v>
      </c>
      <c r="N118" s="251" t="s">
        <v>72</v>
      </c>
      <c r="O118" s="251" t="s">
        <v>72</v>
      </c>
      <c r="P118" s="251" t="s">
        <v>72</v>
      </c>
      <c r="Q118" s="97">
        <v>4.8600000000000003</v>
      </c>
      <c r="R118" s="97">
        <v>4.87</v>
      </c>
      <c r="S118" s="98">
        <v>5.08</v>
      </c>
    </row>
    <row r="119" spans="1:20" s="21" customFormat="1">
      <c r="A119" s="210"/>
      <c r="B119" s="211" t="s">
        <v>126</v>
      </c>
      <c r="C119" s="300">
        <v>1.5</v>
      </c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97">
        <v>0.96</v>
      </c>
      <c r="R119" s="97">
        <v>0.98</v>
      </c>
      <c r="S119" s="96">
        <v>0.95</v>
      </c>
    </row>
    <row r="120" spans="1:20" s="21" customFormat="1" ht="15">
      <c r="A120" s="252"/>
      <c r="B120" s="245" t="s">
        <v>127</v>
      </c>
      <c r="C120" s="301">
        <f>SUM(C117:C119)</f>
        <v>9</v>
      </c>
      <c r="D120" s="251" t="s">
        <v>72</v>
      </c>
      <c r="E120" s="251" t="s">
        <v>72</v>
      </c>
      <c r="F120" s="251" t="s">
        <v>72</v>
      </c>
      <c r="G120" s="251" t="s">
        <v>72</v>
      </c>
      <c r="H120" s="251" t="s">
        <v>72</v>
      </c>
      <c r="I120" s="251" t="s">
        <v>72</v>
      </c>
      <c r="J120" s="251" t="s">
        <v>72</v>
      </c>
      <c r="K120" s="251" t="s">
        <v>72</v>
      </c>
      <c r="L120" s="251" t="s">
        <v>72</v>
      </c>
      <c r="M120" s="251" t="s">
        <v>72</v>
      </c>
      <c r="N120" s="251" t="s">
        <v>72</v>
      </c>
      <c r="O120" s="251" t="s">
        <v>72</v>
      </c>
      <c r="P120" s="251" t="s">
        <v>72</v>
      </c>
      <c r="Q120" s="97">
        <f>SUM(Q117:Q119)</f>
        <v>6.2700000000000005</v>
      </c>
      <c r="R120" s="97">
        <v>6.32</v>
      </c>
      <c r="S120" s="98">
        <v>6.5200000000000005</v>
      </c>
    </row>
    <row r="121" spans="1:20" s="21" customFormat="1" ht="38.25">
      <c r="A121" s="217">
        <v>34</v>
      </c>
      <c r="B121" s="207" t="s">
        <v>128</v>
      </c>
      <c r="C121" s="287"/>
      <c r="D121" s="228" t="s">
        <v>72</v>
      </c>
      <c r="E121" s="228" t="s">
        <v>72</v>
      </c>
      <c r="F121" s="228" t="s">
        <v>72</v>
      </c>
      <c r="G121" s="228" t="s">
        <v>72</v>
      </c>
      <c r="H121" s="228" t="s">
        <v>72</v>
      </c>
      <c r="I121" s="228" t="s">
        <v>72</v>
      </c>
      <c r="J121" s="228" t="s">
        <v>72</v>
      </c>
      <c r="K121" s="228" t="s">
        <v>72</v>
      </c>
      <c r="L121" s="228" t="s">
        <v>72</v>
      </c>
      <c r="M121" s="228" t="s">
        <v>72</v>
      </c>
      <c r="N121" s="228" t="s">
        <v>72</v>
      </c>
      <c r="O121" s="228" t="s">
        <v>72</v>
      </c>
      <c r="P121" s="228" t="s">
        <v>72</v>
      </c>
      <c r="Q121" s="145">
        <v>1073.0899999999999</v>
      </c>
      <c r="R121" s="97">
        <v>1113.6199999999999</v>
      </c>
      <c r="S121" s="98">
        <v>1017.83</v>
      </c>
    </row>
    <row r="122" spans="1:20" s="21" customFormat="1" ht="25.5">
      <c r="A122" s="223">
        <v>35</v>
      </c>
      <c r="B122" s="224" t="s">
        <v>129</v>
      </c>
      <c r="C122" s="302">
        <v>38</v>
      </c>
      <c r="D122" s="209">
        <v>166</v>
      </c>
      <c r="E122" s="209">
        <v>254</v>
      </c>
      <c r="F122" s="209">
        <v>120</v>
      </c>
      <c r="G122" s="209">
        <v>63</v>
      </c>
      <c r="H122" s="209">
        <v>133</v>
      </c>
      <c r="I122" s="209">
        <v>65</v>
      </c>
      <c r="J122" s="209">
        <v>87</v>
      </c>
      <c r="K122" s="209">
        <v>105</v>
      </c>
      <c r="L122" s="209">
        <v>52</v>
      </c>
      <c r="M122" s="209">
        <v>95</v>
      </c>
      <c r="N122" s="209">
        <v>61</v>
      </c>
      <c r="O122" s="209">
        <v>42</v>
      </c>
      <c r="P122" s="209">
        <v>54</v>
      </c>
      <c r="Q122" s="137">
        <f>SUM(C122:P122)</f>
        <v>1335</v>
      </c>
      <c r="R122" s="59">
        <v>1739</v>
      </c>
      <c r="S122" s="60">
        <v>1694</v>
      </c>
    </row>
    <row r="123" spans="1:20" s="21" customFormat="1" ht="43.5" customHeight="1" thickBot="1">
      <c r="A123" s="333">
        <v>36</v>
      </c>
      <c r="B123" s="334" t="s">
        <v>130</v>
      </c>
      <c r="C123" s="335"/>
      <c r="D123" s="336" t="s">
        <v>72</v>
      </c>
      <c r="E123" s="336" t="s">
        <v>72</v>
      </c>
      <c r="F123" s="336" t="s">
        <v>72</v>
      </c>
      <c r="G123" s="336" t="s">
        <v>72</v>
      </c>
      <c r="H123" s="336" t="s">
        <v>72</v>
      </c>
      <c r="I123" s="336" t="s">
        <v>72</v>
      </c>
      <c r="J123" s="336" t="s">
        <v>72</v>
      </c>
      <c r="K123" s="336" t="s">
        <v>72</v>
      </c>
      <c r="L123" s="336" t="s">
        <v>72</v>
      </c>
      <c r="M123" s="336" t="s">
        <v>72</v>
      </c>
      <c r="N123" s="336" t="s">
        <v>72</v>
      </c>
      <c r="O123" s="336" t="s">
        <v>72</v>
      </c>
      <c r="P123" s="336" t="s">
        <v>72</v>
      </c>
      <c r="Q123" s="193">
        <v>1431</v>
      </c>
      <c r="R123" s="194">
        <v>1532</v>
      </c>
      <c r="S123" s="337">
        <v>2525</v>
      </c>
    </row>
    <row r="124" spans="1:20" s="21" customFormat="1" ht="21.95" customHeight="1" thickTop="1">
      <c r="A124" s="217">
        <v>37</v>
      </c>
      <c r="B124" s="207" t="s">
        <v>131</v>
      </c>
      <c r="C124" s="218"/>
      <c r="D124" s="228" t="s">
        <v>72</v>
      </c>
      <c r="E124" s="228" t="s">
        <v>72</v>
      </c>
      <c r="F124" s="228" t="s">
        <v>72</v>
      </c>
      <c r="G124" s="228" t="s">
        <v>72</v>
      </c>
      <c r="H124" s="228" t="s">
        <v>72</v>
      </c>
      <c r="I124" s="228" t="s">
        <v>72</v>
      </c>
      <c r="J124" s="228" t="s">
        <v>72</v>
      </c>
      <c r="K124" s="228" t="s">
        <v>72</v>
      </c>
      <c r="L124" s="228" t="s">
        <v>72</v>
      </c>
      <c r="M124" s="228" t="s">
        <v>72</v>
      </c>
      <c r="N124" s="228" t="s">
        <v>72</v>
      </c>
      <c r="O124" s="228" t="s">
        <v>72</v>
      </c>
      <c r="P124" s="228" t="s">
        <v>72</v>
      </c>
      <c r="Q124" s="44">
        <v>310</v>
      </c>
      <c r="R124" s="332">
        <v>307</v>
      </c>
      <c r="S124" s="46">
        <v>311</v>
      </c>
    </row>
    <row r="125" spans="1:20" s="15" customFormat="1" ht="21.95" customHeight="1">
      <c r="A125" s="232"/>
      <c r="B125" s="224" t="s">
        <v>132</v>
      </c>
      <c r="C125" s="234"/>
      <c r="D125" s="273" t="s">
        <v>72</v>
      </c>
      <c r="E125" s="273" t="s">
        <v>72</v>
      </c>
      <c r="F125" s="273" t="s">
        <v>72</v>
      </c>
      <c r="G125" s="273" t="s">
        <v>72</v>
      </c>
      <c r="H125" s="273" t="s">
        <v>72</v>
      </c>
      <c r="I125" s="273" t="s">
        <v>72</v>
      </c>
      <c r="J125" s="273" t="s">
        <v>72</v>
      </c>
      <c r="K125" s="273" t="s">
        <v>72</v>
      </c>
      <c r="L125" s="273" t="s">
        <v>72</v>
      </c>
      <c r="M125" s="273" t="s">
        <v>72</v>
      </c>
      <c r="N125" s="273" t="s">
        <v>72</v>
      </c>
      <c r="O125" s="273" t="s">
        <v>72</v>
      </c>
      <c r="P125" s="273" t="s">
        <v>72</v>
      </c>
      <c r="Q125" s="42">
        <v>21.55</v>
      </c>
      <c r="R125" s="80">
        <v>21.51</v>
      </c>
      <c r="S125" s="60">
        <v>21.83</v>
      </c>
    </row>
    <row r="126" spans="1:20" s="15" customFormat="1" ht="21.95" customHeight="1">
      <c r="A126" s="206">
        <v>38</v>
      </c>
      <c r="B126" s="207" t="s">
        <v>133</v>
      </c>
      <c r="C126" s="220"/>
      <c r="D126" s="209" t="s">
        <v>72</v>
      </c>
      <c r="E126" s="209" t="s">
        <v>72</v>
      </c>
      <c r="F126" s="209" t="s">
        <v>72</v>
      </c>
      <c r="G126" s="209" t="s">
        <v>72</v>
      </c>
      <c r="H126" s="209" t="s">
        <v>72</v>
      </c>
      <c r="I126" s="209" t="s">
        <v>72</v>
      </c>
      <c r="J126" s="209" t="s">
        <v>72</v>
      </c>
      <c r="K126" s="209" t="s">
        <v>72</v>
      </c>
      <c r="L126" s="209" t="s">
        <v>72</v>
      </c>
      <c r="M126" s="209" t="s">
        <v>72</v>
      </c>
      <c r="N126" s="209" t="s">
        <v>72</v>
      </c>
      <c r="O126" s="209" t="s">
        <v>72</v>
      </c>
      <c r="P126" s="209" t="s">
        <v>72</v>
      </c>
      <c r="Q126" s="36">
        <v>437747866</v>
      </c>
      <c r="R126" s="44">
        <v>451001007</v>
      </c>
      <c r="S126" s="46">
        <v>432291618</v>
      </c>
      <c r="T126" s="199"/>
    </row>
    <row r="127" spans="1:20" s="21" customFormat="1" ht="21.95" customHeight="1">
      <c r="A127" s="210"/>
      <c r="B127" s="211" t="s">
        <v>134</v>
      </c>
      <c r="C127" s="212"/>
      <c r="D127" s="251" t="s">
        <v>72</v>
      </c>
      <c r="E127" s="251" t="s">
        <v>72</v>
      </c>
      <c r="F127" s="251" t="s">
        <v>72</v>
      </c>
      <c r="G127" s="251" t="s">
        <v>72</v>
      </c>
      <c r="H127" s="251" t="s">
        <v>72</v>
      </c>
      <c r="I127" s="251" t="s">
        <v>72</v>
      </c>
      <c r="J127" s="251" t="s">
        <v>72</v>
      </c>
      <c r="K127" s="251" t="s">
        <v>72</v>
      </c>
      <c r="L127" s="251" t="s">
        <v>72</v>
      </c>
      <c r="M127" s="251" t="s">
        <v>72</v>
      </c>
      <c r="N127" s="251" t="s">
        <v>72</v>
      </c>
      <c r="O127" s="251" t="s">
        <v>72</v>
      </c>
      <c r="P127" s="251" t="s">
        <v>72</v>
      </c>
      <c r="Q127" s="37">
        <f>Q126/30</f>
        <v>14591595.533333333</v>
      </c>
      <c r="R127" s="128">
        <v>14548419.580645161</v>
      </c>
      <c r="S127" s="38">
        <v>14409720.6</v>
      </c>
    </row>
    <row r="128" spans="1:20" s="15" customFormat="1" ht="21.95" customHeight="1">
      <c r="A128" s="261"/>
      <c r="B128" s="211" t="s">
        <v>135</v>
      </c>
      <c r="C128" s="262"/>
      <c r="D128" s="230" t="s">
        <v>72</v>
      </c>
      <c r="E128" s="230" t="s">
        <v>72</v>
      </c>
      <c r="F128" s="230" t="s">
        <v>72</v>
      </c>
      <c r="G128" s="230" t="s">
        <v>72</v>
      </c>
      <c r="H128" s="230" t="s">
        <v>72</v>
      </c>
      <c r="I128" s="230" t="s">
        <v>72</v>
      </c>
      <c r="J128" s="230" t="s">
        <v>72</v>
      </c>
      <c r="K128" s="230" t="s">
        <v>72</v>
      </c>
      <c r="L128" s="230" t="s">
        <v>72</v>
      </c>
      <c r="M128" s="230" t="s">
        <v>72</v>
      </c>
      <c r="N128" s="230" t="s">
        <v>72</v>
      </c>
      <c r="O128" s="230" t="s">
        <v>72</v>
      </c>
      <c r="P128" s="230" t="s">
        <v>72</v>
      </c>
      <c r="Q128" s="90">
        <f>SUM(Q127/Q130)</f>
        <v>13.110136948065037</v>
      </c>
      <c r="R128" s="100">
        <v>13.200131725898443</v>
      </c>
      <c r="S128" s="98">
        <v>13.352508995280663</v>
      </c>
    </row>
    <row r="129" spans="1:20" s="21" customFormat="1" ht="21.95" customHeight="1">
      <c r="A129" s="252"/>
      <c r="B129" s="253" t="s">
        <v>136</v>
      </c>
      <c r="C129" s="225"/>
      <c r="D129" s="271">
        <v>48.34</v>
      </c>
      <c r="E129" s="271">
        <v>50.23</v>
      </c>
      <c r="F129" s="271">
        <v>55.42</v>
      </c>
      <c r="G129" s="271">
        <v>57.97</v>
      </c>
      <c r="H129" s="271">
        <v>49.7</v>
      </c>
      <c r="I129" s="271">
        <v>55.05</v>
      </c>
      <c r="J129" s="271">
        <v>54.23</v>
      </c>
      <c r="K129" s="271">
        <v>44.08</v>
      </c>
      <c r="L129" s="271">
        <v>48.2</v>
      </c>
      <c r="M129" s="271">
        <v>42.79</v>
      </c>
      <c r="N129" s="271">
        <v>54.48</v>
      </c>
      <c r="O129" s="271">
        <v>50.49</v>
      </c>
      <c r="P129" s="271">
        <v>48.79</v>
      </c>
      <c r="Q129" s="107">
        <f>Q126/Q34</f>
        <v>50.429115096333042</v>
      </c>
      <c r="R129" s="107">
        <v>52.728205879450726</v>
      </c>
      <c r="S129" s="43">
        <v>51.776740546070158</v>
      </c>
    </row>
    <row r="130" spans="1:20" s="21" customFormat="1" ht="63.75">
      <c r="A130" s="256">
        <v>39</v>
      </c>
      <c r="B130" s="257" t="s">
        <v>137</v>
      </c>
      <c r="C130" s="303"/>
      <c r="D130" s="304" t="s">
        <v>72</v>
      </c>
      <c r="E130" s="304" t="s">
        <v>72</v>
      </c>
      <c r="F130" s="304" t="s">
        <v>72</v>
      </c>
      <c r="G130" s="304" t="s">
        <v>72</v>
      </c>
      <c r="H130" s="304" t="s">
        <v>72</v>
      </c>
      <c r="I130" s="304" t="s">
        <v>72</v>
      </c>
      <c r="J130" s="304" t="s">
        <v>72</v>
      </c>
      <c r="K130" s="304" t="s">
        <v>72</v>
      </c>
      <c r="L130" s="304" t="s">
        <v>72</v>
      </c>
      <c r="M130" s="304" t="s">
        <v>72</v>
      </c>
      <c r="N130" s="304" t="s">
        <v>72</v>
      </c>
      <c r="O130" s="304" t="s">
        <v>72</v>
      </c>
      <c r="P130" s="304" t="s">
        <v>72</v>
      </c>
      <c r="Q130" s="45">
        <v>1113001</v>
      </c>
      <c r="R130" s="36">
        <v>1102142</v>
      </c>
      <c r="S130" s="49">
        <v>1079177</v>
      </c>
      <c r="T130" s="198"/>
    </row>
    <row r="131" spans="1:20" s="21" customFormat="1" ht="38.25">
      <c r="A131" s="210"/>
      <c r="B131" s="211" t="s">
        <v>138</v>
      </c>
      <c r="C131" s="262"/>
      <c r="D131" s="251" t="s">
        <v>72</v>
      </c>
      <c r="E131" s="251" t="s">
        <v>72</v>
      </c>
      <c r="F131" s="251" t="s">
        <v>72</v>
      </c>
      <c r="G131" s="251" t="s">
        <v>72</v>
      </c>
      <c r="H131" s="251" t="s">
        <v>72</v>
      </c>
      <c r="I131" s="251" t="s">
        <v>72</v>
      </c>
      <c r="J131" s="251" t="s">
        <v>72</v>
      </c>
      <c r="K131" s="251" t="s">
        <v>72</v>
      </c>
      <c r="L131" s="251" t="s">
        <v>72</v>
      </c>
      <c r="M131" s="251" t="s">
        <v>72</v>
      </c>
      <c r="N131" s="251" t="s">
        <v>72</v>
      </c>
      <c r="O131" s="251" t="s">
        <v>72</v>
      </c>
      <c r="P131" s="251" t="s">
        <v>72</v>
      </c>
      <c r="Q131" s="37">
        <f>SUM(Q130-Q65)</f>
        <v>288640.30000000005</v>
      </c>
      <c r="R131" s="37">
        <v>286265.3548387097</v>
      </c>
      <c r="S131" s="38">
        <v>270298.90000000002</v>
      </c>
    </row>
    <row r="132" spans="1:20" s="21" customFormat="1" ht="25.5">
      <c r="A132" s="210"/>
      <c r="B132" s="211" t="s">
        <v>139</v>
      </c>
      <c r="C132" s="262"/>
      <c r="D132" s="251" t="s">
        <v>72</v>
      </c>
      <c r="E132" s="251" t="s">
        <v>72</v>
      </c>
      <c r="F132" s="251" t="s">
        <v>72</v>
      </c>
      <c r="G132" s="251" t="s">
        <v>72</v>
      </c>
      <c r="H132" s="251" t="s">
        <v>72</v>
      </c>
      <c r="I132" s="251" t="s">
        <v>72</v>
      </c>
      <c r="J132" s="251" t="s">
        <v>72</v>
      </c>
      <c r="K132" s="251" t="s">
        <v>72</v>
      </c>
      <c r="L132" s="251" t="s">
        <v>72</v>
      </c>
      <c r="M132" s="251" t="s">
        <v>72</v>
      </c>
      <c r="N132" s="251" t="s">
        <v>72</v>
      </c>
      <c r="O132" s="251" t="s">
        <v>72</v>
      </c>
      <c r="P132" s="251" t="s">
        <v>72</v>
      </c>
      <c r="Q132" s="97">
        <f>SUM(Q131/Q130)*100</f>
        <v>25.933516681476483</v>
      </c>
      <c r="R132" s="145">
        <v>25.973545590197062</v>
      </c>
      <c r="S132" s="91">
        <v>25.046762486598585</v>
      </c>
    </row>
    <row r="133" spans="1:20" s="15" customFormat="1" ht="25.5">
      <c r="A133" s="261"/>
      <c r="B133" s="211" t="s">
        <v>140</v>
      </c>
      <c r="C133" s="262"/>
      <c r="D133" s="251" t="s">
        <v>72</v>
      </c>
      <c r="E133" s="251" t="s">
        <v>72</v>
      </c>
      <c r="F133" s="251" t="s">
        <v>72</v>
      </c>
      <c r="G133" s="251" t="s">
        <v>72</v>
      </c>
      <c r="H133" s="251" t="s">
        <v>72</v>
      </c>
      <c r="I133" s="251" t="s">
        <v>72</v>
      </c>
      <c r="J133" s="251" t="s">
        <v>72</v>
      </c>
      <c r="K133" s="251" t="s">
        <v>72</v>
      </c>
      <c r="L133" s="251" t="s">
        <v>72</v>
      </c>
      <c r="M133" s="251" t="s">
        <v>72</v>
      </c>
      <c r="N133" s="251" t="s">
        <v>72</v>
      </c>
      <c r="O133" s="251" t="s">
        <v>72</v>
      </c>
      <c r="P133" s="251" t="s">
        <v>72</v>
      </c>
      <c r="Q133" s="90">
        <f>Q130/1406</f>
        <v>791.60810810810813</v>
      </c>
      <c r="R133" s="97">
        <v>804.48321167883216</v>
      </c>
      <c r="S133" s="98">
        <v>798.20784023668637</v>
      </c>
    </row>
    <row r="134" spans="1:20" s="15" customFormat="1" ht="26.25" thickBot="1">
      <c r="A134" s="296"/>
      <c r="B134" s="265" t="s">
        <v>141</v>
      </c>
      <c r="C134" s="305"/>
      <c r="D134" s="276" t="s">
        <v>72</v>
      </c>
      <c r="E134" s="276" t="s">
        <v>72</v>
      </c>
      <c r="F134" s="276" t="s">
        <v>72</v>
      </c>
      <c r="G134" s="276" t="s">
        <v>72</v>
      </c>
      <c r="H134" s="276" t="s">
        <v>72</v>
      </c>
      <c r="I134" s="276" t="s">
        <v>72</v>
      </c>
      <c r="J134" s="276" t="s">
        <v>72</v>
      </c>
      <c r="K134" s="276" t="s">
        <v>72</v>
      </c>
      <c r="L134" s="276" t="s">
        <v>72</v>
      </c>
      <c r="M134" s="276" t="s">
        <v>72</v>
      </c>
      <c r="N134" s="276" t="s">
        <v>72</v>
      </c>
      <c r="O134" s="276" t="s">
        <v>72</v>
      </c>
      <c r="P134" s="276" t="s">
        <v>72</v>
      </c>
      <c r="Q134" s="151">
        <f>Q127/1406</f>
        <v>10378.09070649597</v>
      </c>
      <c r="R134" s="73">
        <v>10619.284365434423</v>
      </c>
      <c r="S134" s="74">
        <v>10658.077366863905</v>
      </c>
    </row>
    <row r="135" spans="1:20" ht="15" thickTop="1">
      <c r="A135" s="153"/>
      <c r="B135" s="154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339"/>
      <c r="R135" s="340"/>
      <c r="S135" s="341"/>
    </row>
    <row r="136" spans="1:20">
      <c r="A136" s="153"/>
      <c r="B136" s="154"/>
      <c r="C136" s="155"/>
      <c r="D136" s="155">
        <f>D129*D34</f>
        <v>32550850.820000004</v>
      </c>
      <c r="E136" s="155">
        <f t="shared" ref="E136:Q136" si="38">E129*E34</f>
        <v>55918798.649999999</v>
      </c>
      <c r="F136" s="155">
        <f t="shared" si="38"/>
        <v>37122089.439999998</v>
      </c>
      <c r="G136" s="155">
        <f t="shared" si="38"/>
        <v>54052677.25</v>
      </c>
      <c r="H136" s="155">
        <f t="shared" si="38"/>
        <v>36649326.700000003</v>
      </c>
      <c r="I136" s="155">
        <f t="shared" si="38"/>
        <v>20212763.550000001</v>
      </c>
      <c r="J136" s="155">
        <f t="shared" si="38"/>
        <v>33304324.129999999</v>
      </c>
      <c r="K136" s="155">
        <f t="shared" si="38"/>
        <v>45738510</v>
      </c>
      <c r="L136" s="155">
        <f t="shared" si="38"/>
        <v>35604617</v>
      </c>
      <c r="M136" s="155">
        <f t="shared" si="38"/>
        <v>30962030.989999998</v>
      </c>
      <c r="N136" s="155">
        <f t="shared" si="38"/>
        <v>25536737.279999997</v>
      </c>
      <c r="O136" s="155">
        <f t="shared" si="38"/>
        <v>18012257.010000002</v>
      </c>
      <c r="P136" s="155">
        <f t="shared" si="38"/>
        <v>12074793.15</v>
      </c>
      <c r="Q136" s="155">
        <f t="shared" si="38"/>
        <v>437747866</v>
      </c>
      <c r="S136" s="159"/>
    </row>
    <row r="137" spans="1:20" ht="12.75">
      <c r="A137" s="153"/>
      <c r="B137" s="154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S137" s="31"/>
    </row>
    <row r="138" spans="1:20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156"/>
      <c r="L138" s="31"/>
      <c r="M138" s="31"/>
      <c r="N138" s="155"/>
      <c r="O138" s="155"/>
      <c r="P138" s="155"/>
      <c r="Q138" s="158"/>
      <c r="R138" s="159"/>
      <c r="S138" s="31"/>
    </row>
    <row r="139" spans="1:20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156"/>
      <c r="L139" s="31"/>
      <c r="M139" s="31"/>
      <c r="N139" s="155"/>
      <c r="O139" s="155"/>
      <c r="P139" s="155"/>
      <c r="Q139" s="158"/>
      <c r="R139" s="159"/>
      <c r="S139" s="31"/>
    </row>
    <row r="140" spans="1:20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156"/>
      <c r="L140" s="31"/>
      <c r="M140" s="31"/>
      <c r="N140" s="155"/>
      <c r="O140" s="155"/>
      <c r="P140" s="155"/>
      <c r="Q140" s="155"/>
      <c r="R140" s="159"/>
      <c r="S140" s="31"/>
    </row>
    <row r="141" spans="1:20" s="161" customFormat="1" ht="16.5">
      <c r="A141" s="660" t="s">
        <v>142</v>
      </c>
      <c r="B141" s="660"/>
      <c r="C141" s="160"/>
      <c r="D141" s="160"/>
      <c r="E141" s="160"/>
      <c r="F141" s="160"/>
      <c r="G141" s="160"/>
      <c r="I141" s="162"/>
      <c r="J141" s="162"/>
      <c r="K141" s="162"/>
      <c r="L141" s="162"/>
      <c r="M141" s="661" t="s">
        <v>143</v>
      </c>
      <c r="N141" s="661"/>
      <c r="O141" s="661"/>
      <c r="P141" s="661"/>
      <c r="Q141" s="661"/>
      <c r="R141" s="661"/>
      <c r="S141" s="163"/>
    </row>
    <row r="142" spans="1:20" s="161" customFormat="1" ht="16.5">
      <c r="A142" s="660" t="s">
        <v>194</v>
      </c>
      <c r="B142" s="660"/>
      <c r="C142" s="160"/>
      <c r="D142" s="160"/>
      <c r="E142" s="160"/>
      <c r="F142" s="160"/>
      <c r="G142" s="160"/>
      <c r="I142" s="162"/>
      <c r="J142" s="162"/>
      <c r="K142" s="162"/>
      <c r="L142" s="162"/>
      <c r="M142" s="661" t="s">
        <v>144</v>
      </c>
      <c r="N142" s="661"/>
      <c r="O142" s="661"/>
      <c r="P142" s="661"/>
      <c r="Q142" s="661"/>
      <c r="R142" s="661"/>
    </row>
    <row r="143" spans="1:20">
      <c r="A143" s="31"/>
      <c r="B143" s="154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R143" s="164"/>
    </row>
    <row r="144" spans="1:20">
      <c r="A144" s="31"/>
      <c r="B144" s="154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2:19" s="31" customFormat="1">
      <c r="B145" s="154"/>
      <c r="S145" s="163"/>
    </row>
    <row r="146" spans="2:19" s="31" customFormat="1">
      <c r="B146" s="154"/>
      <c r="S146" s="163"/>
    </row>
    <row r="147" spans="2:19" s="31" customFormat="1">
      <c r="B147" s="154"/>
      <c r="S147" s="163"/>
    </row>
    <row r="148" spans="2:19" s="31" customFormat="1">
      <c r="B148" s="154"/>
      <c r="S148" s="163"/>
    </row>
    <row r="149" spans="2:19" s="31" customFormat="1">
      <c r="B149" s="154"/>
      <c r="S149" s="163"/>
    </row>
    <row r="150" spans="2:19" s="31" customFormat="1">
      <c r="B150" s="154"/>
      <c r="S150" s="163"/>
    </row>
    <row r="151" spans="2:19" s="31" customFormat="1">
      <c r="B151" s="154"/>
      <c r="S151" s="163"/>
    </row>
    <row r="152" spans="2:19" s="31" customFormat="1">
      <c r="B152" s="154"/>
      <c r="D152" s="189" t="e">
        <f>D131*D36</f>
        <v>#VALUE!</v>
      </c>
      <c r="E152" s="189" t="e">
        <f t="shared" ref="E152:N152" si="39">E131*E36</f>
        <v>#VALUE!</v>
      </c>
      <c r="F152" s="189" t="e">
        <f t="shared" si="39"/>
        <v>#VALUE!</v>
      </c>
      <c r="G152" s="189" t="e">
        <f t="shared" si="39"/>
        <v>#VALUE!</v>
      </c>
      <c r="H152" s="189" t="e">
        <f t="shared" si="39"/>
        <v>#VALUE!</v>
      </c>
      <c r="I152" s="189" t="e">
        <f t="shared" si="39"/>
        <v>#VALUE!</v>
      </c>
      <c r="J152" s="189" t="e">
        <f t="shared" si="39"/>
        <v>#VALUE!</v>
      </c>
      <c r="K152" s="189" t="e">
        <f t="shared" si="39"/>
        <v>#VALUE!</v>
      </c>
      <c r="L152" s="189" t="e">
        <f t="shared" si="39"/>
        <v>#VALUE!</v>
      </c>
      <c r="M152" s="189" t="e">
        <f t="shared" si="39"/>
        <v>#VALUE!</v>
      </c>
      <c r="N152" s="189" t="e">
        <f t="shared" si="39"/>
        <v>#VALUE!</v>
      </c>
      <c r="O152" s="189" t="e">
        <f>O131*O36</f>
        <v>#VALUE!</v>
      </c>
      <c r="P152" s="189" t="e">
        <f>P131*P36</f>
        <v>#VALUE!</v>
      </c>
      <c r="Q152" s="189">
        <f>Q131*Q36</f>
        <v>59400907.773771942</v>
      </c>
      <c r="S152" s="163"/>
    </row>
    <row r="153" spans="2:19" s="31" customFormat="1">
      <c r="B153" s="154"/>
      <c r="S153" s="163"/>
    </row>
    <row r="154" spans="2:19" s="31" customFormat="1">
      <c r="B154" s="154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S154" s="163"/>
    </row>
    <row r="155" spans="2:19" s="31" customFormat="1">
      <c r="B155" s="154"/>
      <c r="S155" s="163"/>
    </row>
    <row r="156" spans="2:19" s="31" customFormat="1">
      <c r="B156" s="154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S156" s="163"/>
    </row>
    <row r="157" spans="2:19" s="31" customFormat="1">
      <c r="B157" s="154"/>
      <c r="S157" s="163"/>
    </row>
    <row r="158" spans="2:19" s="31" customFormat="1">
      <c r="B158" s="154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S158" s="163"/>
    </row>
    <row r="159" spans="2:19" s="31" customFormat="1">
      <c r="B159" s="154"/>
      <c r="S159" s="163"/>
    </row>
    <row r="160" spans="2:19" s="31" customFormat="1">
      <c r="B160" s="154"/>
      <c r="S160" s="163"/>
    </row>
    <row r="161" spans="2:19" s="31" customFormat="1">
      <c r="B161" s="154"/>
      <c r="S161" s="163"/>
    </row>
    <row r="162" spans="2:19" s="31" customFormat="1">
      <c r="B162" s="154"/>
      <c r="S162" s="163"/>
    </row>
    <row r="163" spans="2:19" s="31" customFormat="1">
      <c r="B163" s="154"/>
      <c r="S163" s="163"/>
    </row>
    <row r="164" spans="2:19" s="31" customFormat="1">
      <c r="B164" s="154"/>
      <c r="S164" s="163"/>
    </row>
    <row r="165" spans="2:19" s="31" customFormat="1">
      <c r="B165" s="154"/>
      <c r="S165" s="163"/>
    </row>
    <row r="166" spans="2:19" s="31" customFormat="1">
      <c r="B166" s="154"/>
      <c r="S166" s="163"/>
    </row>
    <row r="167" spans="2:19" s="31" customFormat="1">
      <c r="B167" s="154"/>
      <c r="S167" s="163"/>
    </row>
    <row r="168" spans="2:19" s="31" customFormat="1">
      <c r="B168" s="154"/>
      <c r="S168" s="163"/>
    </row>
    <row r="169" spans="2:19" s="31" customFormat="1">
      <c r="B169" s="154"/>
      <c r="S169" s="163"/>
    </row>
  </sheetData>
  <mergeCells count="7">
    <mergeCell ref="A142:B142"/>
    <mergeCell ref="M142:R142"/>
    <mergeCell ref="A1:S1"/>
    <mergeCell ref="A2:S2"/>
    <mergeCell ref="A3:S3"/>
    <mergeCell ref="A141:B141"/>
    <mergeCell ref="M141:R141"/>
  </mergeCells>
  <pageMargins left="0.78740157480314965" right="0.19685039370078741" top="0.74803149606299213" bottom="0.74803149606299213" header="0.31496062992125984" footer="0.31496062992125984"/>
  <pageSetup paperSize="5" scale="80" orientation="landscape" verticalDpi="0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2"/>
  <sheetViews>
    <sheetView zoomScaleSheetLayoutView="100" workbookViewId="0">
      <selection activeCell="O110" sqref="O110"/>
    </sheetView>
  </sheetViews>
  <sheetFormatPr defaultRowHeight="14.25"/>
  <cols>
    <col min="1" max="1" width="3.7109375" style="186" customWidth="1"/>
    <col min="2" max="2" width="27.28515625" style="307" customWidth="1"/>
    <col min="3" max="3" width="7.140625" style="186" customWidth="1"/>
    <col min="4" max="8" width="10.140625" style="186" customWidth="1"/>
    <col min="9" max="9" width="10.5703125" style="186" customWidth="1"/>
    <col min="10" max="10" width="10.140625" style="186" customWidth="1"/>
    <col min="11" max="12" width="10.140625" style="377" customWidth="1"/>
    <col min="13" max="13" width="10.140625" style="186" customWidth="1"/>
    <col min="14" max="14" width="10.140625" style="377" customWidth="1"/>
    <col min="15" max="15" width="10.140625" style="186" customWidth="1"/>
    <col min="16" max="16" width="10.85546875" style="186" customWidth="1"/>
    <col min="17" max="17" width="11.5703125" style="31" customWidth="1"/>
    <col min="18" max="18" width="11.85546875" style="31" customWidth="1"/>
    <col min="19" max="19" width="11.42578125" style="163" customWidth="1"/>
    <col min="20" max="251" width="9.140625" style="31"/>
    <col min="252" max="252" width="3.7109375" style="31" customWidth="1"/>
    <col min="253" max="253" width="30.42578125" style="31" customWidth="1"/>
    <col min="254" max="254" width="7.140625" style="31" customWidth="1"/>
    <col min="255" max="255" width="10.7109375" style="31" customWidth="1"/>
    <col min="256" max="256" width="10.42578125" style="31" customWidth="1"/>
    <col min="257" max="257" width="10.5703125" style="31" customWidth="1"/>
    <col min="258" max="258" width="10.42578125" style="31" customWidth="1"/>
    <col min="259" max="261" width="10.5703125" style="31" customWidth="1"/>
    <col min="262" max="264" width="10.42578125" style="31" customWidth="1"/>
    <col min="265" max="265" width="10.5703125" style="31" customWidth="1"/>
    <col min="266" max="266" width="10.28515625" style="31" customWidth="1"/>
    <col min="267" max="267" width="10.140625" style="31" customWidth="1"/>
    <col min="268" max="268" width="11.7109375" style="31" customWidth="1"/>
    <col min="269" max="269" width="12.42578125" style="31" customWidth="1"/>
    <col min="270" max="270" width="11.7109375" style="31" customWidth="1"/>
    <col min="271" max="271" width="13.140625" style="31" customWidth="1"/>
    <col min="272" max="507" width="9.140625" style="31"/>
    <col min="508" max="508" width="3.7109375" style="31" customWidth="1"/>
    <col min="509" max="509" width="30.42578125" style="31" customWidth="1"/>
    <col min="510" max="510" width="7.140625" style="31" customWidth="1"/>
    <col min="511" max="511" width="10.7109375" style="31" customWidth="1"/>
    <col min="512" max="512" width="10.42578125" style="31" customWidth="1"/>
    <col min="513" max="513" width="10.5703125" style="31" customWidth="1"/>
    <col min="514" max="514" width="10.42578125" style="31" customWidth="1"/>
    <col min="515" max="517" width="10.5703125" style="31" customWidth="1"/>
    <col min="518" max="520" width="10.42578125" style="31" customWidth="1"/>
    <col min="521" max="521" width="10.5703125" style="31" customWidth="1"/>
    <col min="522" max="522" width="10.28515625" style="31" customWidth="1"/>
    <col min="523" max="523" width="10.140625" style="31" customWidth="1"/>
    <col min="524" max="524" width="11.7109375" style="31" customWidth="1"/>
    <col min="525" max="525" width="12.42578125" style="31" customWidth="1"/>
    <col min="526" max="526" width="11.7109375" style="31" customWidth="1"/>
    <col min="527" max="527" width="13.140625" style="31" customWidth="1"/>
    <col min="528" max="763" width="9.140625" style="31"/>
    <col min="764" max="764" width="3.7109375" style="31" customWidth="1"/>
    <col min="765" max="765" width="30.42578125" style="31" customWidth="1"/>
    <col min="766" max="766" width="7.140625" style="31" customWidth="1"/>
    <col min="767" max="767" width="10.7109375" style="31" customWidth="1"/>
    <col min="768" max="768" width="10.42578125" style="31" customWidth="1"/>
    <col min="769" max="769" width="10.5703125" style="31" customWidth="1"/>
    <col min="770" max="770" width="10.42578125" style="31" customWidth="1"/>
    <col min="771" max="773" width="10.5703125" style="31" customWidth="1"/>
    <col min="774" max="776" width="10.42578125" style="31" customWidth="1"/>
    <col min="777" max="777" width="10.5703125" style="31" customWidth="1"/>
    <col min="778" max="778" width="10.28515625" style="31" customWidth="1"/>
    <col min="779" max="779" width="10.140625" style="31" customWidth="1"/>
    <col min="780" max="780" width="11.7109375" style="31" customWidth="1"/>
    <col min="781" max="781" width="12.42578125" style="31" customWidth="1"/>
    <col min="782" max="782" width="11.7109375" style="31" customWidth="1"/>
    <col min="783" max="783" width="13.140625" style="31" customWidth="1"/>
    <col min="784" max="1019" width="9.140625" style="31"/>
    <col min="1020" max="1020" width="3.7109375" style="31" customWidth="1"/>
    <col min="1021" max="1021" width="30.42578125" style="31" customWidth="1"/>
    <col min="1022" max="1022" width="7.140625" style="31" customWidth="1"/>
    <col min="1023" max="1023" width="10.7109375" style="31" customWidth="1"/>
    <col min="1024" max="1024" width="10.42578125" style="31" customWidth="1"/>
    <col min="1025" max="1025" width="10.5703125" style="31" customWidth="1"/>
    <col min="1026" max="1026" width="10.42578125" style="31" customWidth="1"/>
    <col min="1027" max="1029" width="10.5703125" style="31" customWidth="1"/>
    <col min="1030" max="1032" width="10.42578125" style="31" customWidth="1"/>
    <col min="1033" max="1033" width="10.5703125" style="31" customWidth="1"/>
    <col min="1034" max="1034" width="10.28515625" style="31" customWidth="1"/>
    <col min="1035" max="1035" width="10.140625" style="31" customWidth="1"/>
    <col min="1036" max="1036" width="11.7109375" style="31" customWidth="1"/>
    <col min="1037" max="1037" width="12.42578125" style="31" customWidth="1"/>
    <col min="1038" max="1038" width="11.7109375" style="31" customWidth="1"/>
    <col min="1039" max="1039" width="13.140625" style="31" customWidth="1"/>
    <col min="1040" max="1275" width="9.140625" style="31"/>
    <col min="1276" max="1276" width="3.7109375" style="31" customWidth="1"/>
    <col min="1277" max="1277" width="30.42578125" style="31" customWidth="1"/>
    <col min="1278" max="1278" width="7.140625" style="31" customWidth="1"/>
    <col min="1279" max="1279" width="10.7109375" style="31" customWidth="1"/>
    <col min="1280" max="1280" width="10.42578125" style="31" customWidth="1"/>
    <col min="1281" max="1281" width="10.5703125" style="31" customWidth="1"/>
    <col min="1282" max="1282" width="10.42578125" style="31" customWidth="1"/>
    <col min="1283" max="1285" width="10.5703125" style="31" customWidth="1"/>
    <col min="1286" max="1288" width="10.42578125" style="31" customWidth="1"/>
    <col min="1289" max="1289" width="10.5703125" style="31" customWidth="1"/>
    <col min="1290" max="1290" width="10.28515625" style="31" customWidth="1"/>
    <col min="1291" max="1291" width="10.140625" style="31" customWidth="1"/>
    <col min="1292" max="1292" width="11.7109375" style="31" customWidth="1"/>
    <col min="1293" max="1293" width="12.42578125" style="31" customWidth="1"/>
    <col min="1294" max="1294" width="11.7109375" style="31" customWidth="1"/>
    <col min="1295" max="1295" width="13.140625" style="31" customWidth="1"/>
    <col min="1296" max="1531" width="9.140625" style="31"/>
    <col min="1532" max="1532" width="3.7109375" style="31" customWidth="1"/>
    <col min="1533" max="1533" width="30.42578125" style="31" customWidth="1"/>
    <col min="1534" max="1534" width="7.140625" style="31" customWidth="1"/>
    <col min="1535" max="1535" width="10.7109375" style="31" customWidth="1"/>
    <col min="1536" max="1536" width="10.42578125" style="31" customWidth="1"/>
    <col min="1537" max="1537" width="10.5703125" style="31" customWidth="1"/>
    <col min="1538" max="1538" width="10.42578125" style="31" customWidth="1"/>
    <col min="1539" max="1541" width="10.5703125" style="31" customWidth="1"/>
    <col min="1542" max="1544" width="10.42578125" style="31" customWidth="1"/>
    <col min="1545" max="1545" width="10.5703125" style="31" customWidth="1"/>
    <col min="1546" max="1546" width="10.28515625" style="31" customWidth="1"/>
    <col min="1547" max="1547" width="10.140625" style="31" customWidth="1"/>
    <col min="1548" max="1548" width="11.7109375" style="31" customWidth="1"/>
    <col min="1549" max="1549" width="12.42578125" style="31" customWidth="1"/>
    <col min="1550" max="1550" width="11.7109375" style="31" customWidth="1"/>
    <col min="1551" max="1551" width="13.140625" style="31" customWidth="1"/>
    <col min="1552" max="1787" width="9.140625" style="31"/>
    <col min="1788" max="1788" width="3.7109375" style="31" customWidth="1"/>
    <col min="1789" max="1789" width="30.42578125" style="31" customWidth="1"/>
    <col min="1790" max="1790" width="7.140625" style="31" customWidth="1"/>
    <col min="1791" max="1791" width="10.7109375" style="31" customWidth="1"/>
    <col min="1792" max="1792" width="10.42578125" style="31" customWidth="1"/>
    <col min="1793" max="1793" width="10.5703125" style="31" customWidth="1"/>
    <col min="1794" max="1794" width="10.42578125" style="31" customWidth="1"/>
    <col min="1795" max="1797" width="10.5703125" style="31" customWidth="1"/>
    <col min="1798" max="1800" width="10.42578125" style="31" customWidth="1"/>
    <col min="1801" max="1801" width="10.5703125" style="31" customWidth="1"/>
    <col min="1802" max="1802" width="10.28515625" style="31" customWidth="1"/>
    <col min="1803" max="1803" width="10.140625" style="31" customWidth="1"/>
    <col min="1804" max="1804" width="11.7109375" style="31" customWidth="1"/>
    <col min="1805" max="1805" width="12.42578125" style="31" customWidth="1"/>
    <col min="1806" max="1806" width="11.7109375" style="31" customWidth="1"/>
    <col min="1807" max="1807" width="13.140625" style="31" customWidth="1"/>
    <col min="1808" max="2043" width="9.140625" style="31"/>
    <col min="2044" max="2044" width="3.7109375" style="31" customWidth="1"/>
    <col min="2045" max="2045" width="30.42578125" style="31" customWidth="1"/>
    <col min="2046" max="2046" width="7.140625" style="31" customWidth="1"/>
    <col min="2047" max="2047" width="10.7109375" style="31" customWidth="1"/>
    <col min="2048" max="2048" width="10.42578125" style="31" customWidth="1"/>
    <col min="2049" max="2049" width="10.5703125" style="31" customWidth="1"/>
    <col min="2050" max="2050" width="10.42578125" style="31" customWidth="1"/>
    <col min="2051" max="2053" width="10.5703125" style="31" customWidth="1"/>
    <col min="2054" max="2056" width="10.42578125" style="31" customWidth="1"/>
    <col min="2057" max="2057" width="10.5703125" style="31" customWidth="1"/>
    <col min="2058" max="2058" width="10.28515625" style="31" customWidth="1"/>
    <col min="2059" max="2059" width="10.140625" style="31" customWidth="1"/>
    <col min="2060" max="2060" width="11.7109375" style="31" customWidth="1"/>
    <col min="2061" max="2061" width="12.42578125" style="31" customWidth="1"/>
    <col min="2062" max="2062" width="11.7109375" style="31" customWidth="1"/>
    <col min="2063" max="2063" width="13.140625" style="31" customWidth="1"/>
    <col min="2064" max="2299" width="9.140625" style="31"/>
    <col min="2300" max="2300" width="3.7109375" style="31" customWidth="1"/>
    <col min="2301" max="2301" width="30.42578125" style="31" customWidth="1"/>
    <col min="2302" max="2302" width="7.140625" style="31" customWidth="1"/>
    <col min="2303" max="2303" width="10.7109375" style="31" customWidth="1"/>
    <col min="2304" max="2304" width="10.42578125" style="31" customWidth="1"/>
    <col min="2305" max="2305" width="10.5703125" style="31" customWidth="1"/>
    <col min="2306" max="2306" width="10.42578125" style="31" customWidth="1"/>
    <col min="2307" max="2309" width="10.5703125" style="31" customWidth="1"/>
    <col min="2310" max="2312" width="10.42578125" style="31" customWidth="1"/>
    <col min="2313" max="2313" width="10.5703125" style="31" customWidth="1"/>
    <col min="2314" max="2314" width="10.28515625" style="31" customWidth="1"/>
    <col min="2315" max="2315" width="10.140625" style="31" customWidth="1"/>
    <col min="2316" max="2316" width="11.7109375" style="31" customWidth="1"/>
    <col min="2317" max="2317" width="12.42578125" style="31" customWidth="1"/>
    <col min="2318" max="2318" width="11.7109375" style="31" customWidth="1"/>
    <col min="2319" max="2319" width="13.140625" style="31" customWidth="1"/>
    <col min="2320" max="2555" width="9.140625" style="31"/>
    <col min="2556" max="2556" width="3.7109375" style="31" customWidth="1"/>
    <col min="2557" max="2557" width="30.42578125" style="31" customWidth="1"/>
    <col min="2558" max="2558" width="7.140625" style="31" customWidth="1"/>
    <col min="2559" max="2559" width="10.7109375" style="31" customWidth="1"/>
    <col min="2560" max="2560" width="10.42578125" style="31" customWidth="1"/>
    <col min="2561" max="2561" width="10.5703125" style="31" customWidth="1"/>
    <col min="2562" max="2562" width="10.42578125" style="31" customWidth="1"/>
    <col min="2563" max="2565" width="10.5703125" style="31" customWidth="1"/>
    <col min="2566" max="2568" width="10.42578125" style="31" customWidth="1"/>
    <col min="2569" max="2569" width="10.5703125" style="31" customWidth="1"/>
    <col min="2570" max="2570" width="10.28515625" style="31" customWidth="1"/>
    <col min="2571" max="2571" width="10.140625" style="31" customWidth="1"/>
    <col min="2572" max="2572" width="11.7109375" style="31" customWidth="1"/>
    <col min="2573" max="2573" width="12.42578125" style="31" customWidth="1"/>
    <col min="2574" max="2574" width="11.7109375" style="31" customWidth="1"/>
    <col min="2575" max="2575" width="13.140625" style="31" customWidth="1"/>
    <col min="2576" max="2811" width="9.140625" style="31"/>
    <col min="2812" max="2812" width="3.7109375" style="31" customWidth="1"/>
    <col min="2813" max="2813" width="30.42578125" style="31" customWidth="1"/>
    <col min="2814" max="2814" width="7.140625" style="31" customWidth="1"/>
    <col min="2815" max="2815" width="10.7109375" style="31" customWidth="1"/>
    <col min="2816" max="2816" width="10.42578125" style="31" customWidth="1"/>
    <col min="2817" max="2817" width="10.5703125" style="31" customWidth="1"/>
    <col min="2818" max="2818" width="10.42578125" style="31" customWidth="1"/>
    <col min="2819" max="2821" width="10.5703125" style="31" customWidth="1"/>
    <col min="2822" max="2824" width="10.42578125" style="31" customWidth="1"/>
    <col min="2825" max="2825" width="10.5703125" style="31" customWidth="1"/>
    <col min="2826" max="2826" width="10.28515625" style="31" customWidth="1"/>
    <col min="2827" max="2827" width="10.140625" style="31" customWidth="1"/>
    <col min="2828" max="2828" width="11.7109375" style="31" customWidth="1"/>
    <col min="2829" max="2829" width="12.42578125" style="31" customWidth="1"/>
    <col min="2830" max="2830" width="11.7109375" style="31" customWidth="1"/>
    <col min="2831" max="2831" width="13.140625" style="31" customWidth="1"/>
    <col min="2832" max="3067" width="9.140625" style="31"/>
    <col min="3068" max="3068" width="3.7109375" style="31" customWidth="1"/>
    <col min="3069" max="3069" width="30.42578125" style="31" customWidth="1"/>
    <col min="3070" max="3070" width="7.140625" style="31" customWidth="1"/>
    <col min="3071" max="3071" width="10.7109375" style="31" customWidth="1"/>
    <col min="3072" max="3072" width="10.42578125" style="31" customWidth="1"/>
    <col min="3073" max="3073" width="10.5703125" style="31" customWidth="1"/>
    <col min="3074" max="3074" width="10.42578125" style="31" customWidth="1"/>
    <col min="3075" max="3077" width="10.5703125" style="31" customWidth="1"/>
    <col min="3078" max="3080" width="10.42578125" style="31" customWidth="1"/>
    <col min="3081" max="3081" width="10.5703125" style="31" customWidth="1"/>
    <col min="3082" max="3082" width="10.28515625" style="31" customWidth="1"/>
    <col min="3083" max="3083" width="10.140625" style="31" customWidth="1"/>
    <col min="3084" max="3084" width="11.7109375" style="31" customWidth="1"/>
    <col min="3085" max="3085" width="12.42578125" style="31" customWidth="1"/>
    <col min="3086" max="3086" width="11.7109375" style="31" customWidth="1"/>
    <col min="3087" max="3087" width="13.140625" style="31" customWidth="1"/>
    <col min="3088" max="3323" width="9.140625" style="31"/>
    <col min="3324" max="3324" width="3.7109375" style="31" customWidth="1"/>
    <col min="3325" max="3325" width="30.42578125" style="31" customWidth="1"/>
    <col min="3326" max="3326" width="7.140625" style="31" customWidth="1"/>
    <col min="3327" max="3327" width="10.7109375" style="31" customWidth="1"/>
    <col min="3328" max="3328" width="10.42578125" style="31" customWidth="1"/>
    <col min="3329" max="3329" width="10.5703125" style="31" customWidth="1"/>
    <col min="3330" max="3330" width="10.42578125" style="31" customWidth="1"/>
    <col min="3331" max="3333" width="10.5703125" style="31" customWidth="1"/>
    <col min="3334" max="3336" width="10.42578125" style="31" customWidth="1"/>
    <col min="3337" max="3337" width="10.5703125" style="31" customWidth="1"/>
    <col min="3338" max="3338" width="10.28515625" style="31" customWidth="1"/>
    <col min="3339" max="3339" width="10.140625" style="31" customWidth="1"/>
    <col min="3340" max="3340" width="11.7109375" style="31" customWidth="1"/>
    <col min="3341" max="3341" width="12.42578125" style="31" customWidth="1"/>
    <col min="3342" max="3342" width="11.7109375" style="31" customWidth="1"/>
    <col min="3343" max="3343" width="13.140625" style="31" customWidth="1"/>
    <col min="3344" max="3579" width="9.140625" style="31"/>
    <col min="3580" max="3580" width="3.7109375" style="31" customWidth="1"/>
    <col min="3581" max="3581" width="30.42578125" style="31" customWidth="1"/>
    <col min="3582" max="3582" width="7.140625" style="31" customWidth="1"/>
    <col min="3583" max="3583" width="10.7109375" style="31" customWidth="1"/>
    <col min="3584" max="3584" width="10.42578125" style="31" customWidth="1"/>
    <col min="3585" max="3585" width="10.5703125" style="31" customWidth="1"/>
    <col min="3586" max="3586" width="10.42578125" style="31" customWidth="1"/>
    <col min="3587" max="3589" width="10.5703125" style="31" customWidth="1"/>
    <col min="3590" max="3592" width="10.42578125" style="31" customWidth="1"/>
    <col min="3593" max="3593" width="10.5703125" style="31" customWidth="1"/>
    <col min="3594" max="3594" width="10.28515625" style="31" customWidth="1"/>
    <col min="3595" max="3595" width="10.140625" style="31" customWidth="1"/>
    <col min="3596" max="3596" width="11.7109375" style="31" customWidth="1"/>
    <col min="3597" max="3597" width="12.42578125" style="31" customWidth="1"/>
    <col min="3598" max="3598" width="11.7109375" style="31" customWidth="1"/>
    <col min="3599" max="3599" width="13.140625" style="31" customWidth="1"/>
    <col min="3600" max="3835" width="9.140625" style="31"/>
    <col min="3836" max="3836" width="3.7109375" style="31" customWidth="1"/>
    <col min="3837" max="3837" width="30.42578125" style="31" customWidth="1"/>
    <col min="3838" max="3838" width="7.140625" style="31" customWidth="1"/>
    <col min="3839" max="3839" width="10.7109375" style="31" customWidth="1"/>
    <col min="3840" max="3840" width="10.42578125" style="31" customWidth="1"/>
    <col min="3841" max="3841" width="10.5703125" style="31" customWidth="1"/>
    <col min="3842" max="3842" width="10.42578125" style="31" customWidth="1"/>
    <col min="3843" max="3845" width="10.5703125" style="31" customWidth="1"/>
    <col min="3846" max="3848" width="10.42578125" style="31" customWidth="1"/>
    <col min="3849" max="3849" width="10.5703125" style="31" customWidth="1"/>
    <col min="3850" max="3850" width="10.28515625" style="31" customWidth="1"/>
    <col min="3851" max="3851" width="10.140625" style="31" customWidth="1"/>
    <col min="3852" max="3852" width="11.7109375" style="31" customWidth="1"/>
    <col min="3853" max="3853" width="12.42578125" style="31" customWidth="1"/>
    <col min="3854" max="3854" width="11.7109375" style="31" customWidth="1"/>
    <col min="3855" max="3855" width="13.140625" style="31" customWidth="1"/>
    <col min="3856" max="4091" width="9.140625" style="31"/>
    <col min="4092" max="4092" width="3.7109375" style="31" customWidth="1"/>
    <col min="4093" max="4093" width="30.42578125" style="31" customWidth="1"/>
    <col min="4094" max="4094" width="7.140625" style="31" customWidth="1"/>
    <col min="4095" max="4095" width="10.7109375" style="31" customWidth="1"/>
    <col min="4096" max="4096" width="10.42578125" style="31" customWidth="1"/>
    <col min="4097" max="4097" width="10.5703125" style="31" customWidth="1"/>
    <col min="4098" max="4098" width="10.42578125" style="31" customWidth="1"/>
    <col min="4099" max="4101" width="10.5703125" style="31" customWidth="1"/>
    <col min="4102" max="4104" width="10.42578125" style="31" customWidth="1"/>
    <col min="4105" max="4105" width="10.5703125" style="31" customWidth="1"/>
    <col min="4106" max="4106" width="10.28515625" style="31" customWidth="1"/>
    <col min="4107" max="4107" width="10.140625" style="31" customWidth="1"/>
    <col min="4108" max="4108" width="11.7109375" style="31" customWidth="1"/>
    <col min="4109" max="4109" width="12.42578125" style="31" customWidth="1"/>
    <col min="4110" max="4110" width="11.7109375" style="31" customWidth="1"/>
    <col min="4111" max="4111" width="13.140625" style="31" customWidth="1"/>
    <col min="4112" max="4347" width="9.140625" style="31"/>
    <col min="4348" max="4348" width="3.7109375" style="31" customWidth="1"/>
    <col min="4349" max="4349" width="30.42578125" style="31" customWidth="1"/>
    <col min="4350" max="4350" width="7.140625" style="31" customWidth="1"/>
    <col min="4351" max="4351" width="10.7109375" style="31" customWidth="1"/>
    <col min="4352" max="4352" width="10.42578125" style="31" customWidth="1"/>
    <col min="4353" max="4353" width="10.5703125" style="31" customWidth="1"/>
    <col min="4354" max="4354" width="10.42578125" style="31" customWidth="1"/>
    <col min="4355" max="4357" width="10.5703125" style="31" customWidth="1"/>
    <col min="4358" max="4360" width="10.42578125" style="31" customWidth="1"/>
    <col min="4361" max="4361" width="10.5703125" style="31" customWidth="1"/>
    <col min="4362" max="4362" width="10.28515625" style="31" customWidth="1"/>
    <col min="4363" max="4363" width="10.140625" style="31" customWidth="1"/>
    <col min="4364" max="4364" width="11.7109375" style="31" customWidth="1"/>
    <col min="4365" max="4365" width="12.42578125" style="31" customWidth="1"/>
    <col min="4366" max="4366" width="11.7109375" style="31" customWidth="1"/>
    <col min="4367" max="4367" width="13.140625" style="31" customWidth="1"/>
    <col min="4368" max="4603" width="9.140625" style="31"/>
    <col min="4604" max="4604" width="3.7109375" style="31" customWidth="1"/>
    <col min="4605" max="4605" width="30.42578125" style="31" customWidth="1"/>
    <col min="4606" max="4606" width="7.140625" style="31" customWidth="1"/>
    <col min="4607" max="4607" width="10.7109375" style="31" customWidth="1"/>
    <col min="4608" max="4608" width="10.42578125" style="31" customWidth="1"/>
    <col min="4609" max="4609" width="10.5703125" style="31" customWidth="1"/>
    <col min="4610" max="4610" width="10.42578125" style="31" customWidth="1"/>
    <col min="4611" max="4613" width="10.5703125" style="31" customWidth="1"/>
    <col min="4614" max="4616" width="10.42578125" style="31" customWidth="1"/>
    <col min="4617" max="4617" width="10.5703125" style="31" customWidth="1"/>
    <col min="4618" max="4618" width="10.28515625" style="31" customWidth="1"/>
    <col min="4619" max="4619" width="10.140625" style="31" customWidth="1"/>
    <col min="4620" max="4620" width="11.7109375" style="31" customWidth="1"/>
    <col min="4621" max="4621" width="12.42578125" style="31" customWidth="1"/>
    <col min="4622" max="4622" width="11.7109375" style="31" customWidth="1"/>
    <col min="4623" max="4623" width="13.140625" style="31" customWidth="1"/>
    <col min="4624" max="4859" width="9.140625" style="31"/>
    <col min="4860" max="4860" width="3.7109375" style="31" customWidth="1"/>
    <col min="4861" max="4861" width="30.42578125" style="31" customWidth="1"/>
    <col min="4862" max="4862" width="7.140625" style="31" customWidth="1"/>
    <col min="4863" max="4863" width="10.7109375" style="31" customWidth="1"/>
    <col min="4864" max="4864" width="10.42578125" style="31" customWidth="1"/>
    <col min="4865" max="4865" width="10.5703125" style="31" customWidth="1"/>
    <col min="4866" max="4866" width="10.42578125" style="31" customWidth="1"/>
    <col min="4867" max="4869" width="10.5703125" style="31" customWidth="1"/>
    <col min="4870" max="4872" width="10.42578125" style="31" customWidth="1"/>
    <col min="4873" max="4873" width="10.5703125" style="31" customWidth="1"/>
    <col min="4874" max="4874" width="10.28515625" style="31" customWidth="1"/>
    <col min="4875" max="4875" width="10.140625" style="31" customWidth="1"/>
    <col min="4876" max="4876" width="11.7109375" style="31" customWidth="1"/>
    <col min="4877" max="4877" width="12.42578125" style="31" customWidth="1"/>
    <col min="4878" max="4878" width="11.7109375" style="31" customWidth="1"/>
    <col min="4879" max="4879" width="13.140625" style="31" customWidth="1"/>
    <col min="4880" max="5115" width="9.140625" style="31"/>
    <col min="5116" max="5116" width="3.7109375" style="31" customWidth="1"/>
    <col min="5117" max="5117" width="30.42578125" style="31" customWidth="1"/>
    <col min="5118" max="5118" width="7.140625" style="31" customWidth="1"/>
    <col min="5119" max="5119" width="10.7109375" style="31" customWidth="1"/>
    <col min="5120" max="5120" width="10.42578125" style="31" customWidth="1"/>
    <col min="5121" max="5121" width="10.5703125" style="31" customWidth="1"/>
    <col min="5122" max="5122" width="10.42578125" style="31" customWidth="1"/>
    <col min="5123" max="5125" width="10.5703125" style="31" customWidth="1"/>
    <col min="5126" max="5128" width="10.42578125" style="31" customWidth="1"/>
    <col min="5129" max="5129" width="10.5703125" style="31" customWidth="1"/>
    <col min="5130" max="5130" width="10.28515625" style="31" customWidth="1"/>
    <col min="5131" max="5131" width="10.140625" style="31" customWidth="1"/>
    <col min="5132" max="5132" width="11.7109375" style="31" customWidth="1"/>
    <col min="5133" max="5133" width="12.42578125" style="31" customWidth="1"/>
    <col min="5134" max="5134" width="11.7109375" style="31" customWidth="1"/>
    <col min="5135" max="5135" width="13.140625" style="31" customWidth="1"/>
    <col min="5136" max="5371" width="9.140625" style="31"/>
    <col min="5372" max="5372" width="3.7109375" style="31" customWidth="1"/>
    <col min="5373" max="5373" width="30.42578125" style="31" customWidth="1"/>
    <col min="5374" max="5374" width="7.140625" style="31" customWidth="1"/>
    <col min="5375" max="5375" width="10.7109375" style="31" customWidth="1"/>
    <col min="5376" max="5376" width="10.42578125" style="31" customWidth="1"/>
    <col min="5377" max="5377" width="10.5703125" style="31" customWidth="1"/>
    <col min="5378" max="5378" width="10.42578125" style="31" customWidth="1"/>
    <col min="5379" max="5381" width="10.5703125" style="31" customWidth="1"/>
    <col min="5382" max="5384" width="10.42578125" style="31" customWidth="1"/>
    <col min="5385" max="5385" width="10.5703125" style="31" customWidth="1"/>
    <col min="5386" max="5386" width="10.28515625" style="31" customWidth="1"/>
    <col min="5387" max="5387" width="10.140625" style="31" customWidth="1"/>
    <col min="5388" max="5388" width="11.7109375" style="31" customWidth="1"/>
    <col min="5389" max="5389" width="12.42578125" style="31" customWidth="1"/>
    <col min="5390" max="5390" width="11.7109375" style="31" customWidth="1"/>
    <col min="5391" max="5391" width="13.140625" style="31" customWidth="1"/>
    <col min="5392" max="5627" width="9.140625" style="31"/>
    <col min="5628" max="5628" width="3.7109375" style="31" customWidth="1"/>
    <col min="5629" max="5629" width="30.42578125" style="31" customWidth="1"/>
    <col min="5630" max="5630" width="7.140625" style="31" customWidth="1"/>
    <col min="5631" max="5631" width="10.7109375" style="31" customWidth="1"/>
    <col min="5632" max="5632" width="10.42578125" style="31" customWidth="1"/>
    <col min="5633" max="5633" width="10.5703125" style="31" customWidth="1"/>
    <col min="5634" max="5634" width="10.42578125" style="31" customWidth="1"/>
    <col min="5635" max="5637" width="10.5703125" style="31" customWidth="1"/>
    <col min="5638" max="5640" width="10.42578125" style="31" customWidth="1"/>
    <col min="5641" max="5641" width="10.5703125" style="31" customWidth="1"/>
    <col min="5642" max="5642" width="10.28515625" style="31" customWidth="1"/>
    <col min="5643" max="5643" width="10.140625" style="31" customWidth="1"/>
    <col min="5644" max="5644" width="11.7109375" style="31" customWidth="1"/>
    <col min="5645" max="5645" width="12.42578125" style="31" customWidth="1"/>
    <col min="5646" max="5646" width="11.7109375" style="31" customWidth="1"/>
    <col min="5647" max="5647" width="13.140625" style="31" customWidth="1"/>
    <col min="5648" max="5883" width="9.140625" style="31"/>
    <col min="5884" max="5884" width="3.7109375" style="31" customWidth="1"/>
    <col min="5885" max="5885" width="30.42578125" style="31" customWidth="1"/>
    <col min="5886" max="5886" width="7.140625" style="31" customWidth="1"/>
    <col min="5887" max="5887" width="10.7109375" style="31" customWidth="1"/>
    <col min="5888" max="5888" width="10.42578125" style="31" customWidth="1"/>
    <col min="5889" max="5889" width="10.5703125" style="31" customWidth="1"/>
    <col min="5890" max="5890" width="10.42578125" style="31" customWidth="1"/>
    <col min="5891" max="5893" width="10.5703125" style="31" customWidth="1"/>
    <col min="5894" max="5896" width="10.42578125" style="31" customWidth="1"/>
    <col min="5897" max="5897" width="10.5703125" style="31" customWidth="1"/>
    <col min="5898" max="5898" width="10.28515625" style="31" customWidth="1"/>
    <col min="5899" max="5899" width="10.140625" style="31" customWidth="1"/>
    <col min="5900" max="5900" width="11.7109375" style="31" customWidth="1"/>
    <col min="5901" max="5901" width="12.42578125" style="31" customWidth="1"/>
    <col min="5902" max="5902" width="11.7109375" style="31" customWidth="1"/>
    <col min="5903" max="5903" width="13.140625" style="31" customWidth="1"/>
    <col min="5904" max="6139" width="9.140625" style="31"/>
    <col min="6140" max="6140" width="3.7109375" style="31" customWidth="1"/>
    <col min="6141" max="6141" width="30.42578125" style="31" customWidth="1"/>
    <col min="6142" max="6142" width="7.140625" style="31" customWidth="1"/>
    <col min="6143" max="6143" width="10.7109375" style="31" customWidth="1"/>
    <col min="6144" max="6144" width="10.42578125" style="31" customWidth="1"/>
    <col min="6145" max="6145" width="10.5703125" style="31" customWidth="1"/>
    <col min="6146" max="6146" width="10.42578125" style="31" customWidth="1"/>
    <col min="6147" max="6149" width="10.5703125" style="31" customWidth="1"/>
    <col min="6150" max="6152" width="10.42578125" style="31" customWidth="1"/>
    <col min="6153" max="6153" width="10.5703125" style="31" customWidth="1"/>
    <col min="6154" max="6154" width="10.28515625" style="31" customWidth="1"/>
    <col min="6155" max="6155" width="10.140625" style="31" customWidth="1"/>
    <col min="6156" max="6156" width="11.7109375" style="31" customWidth="1"/>
    <col min="6157" max="6157" width="12.42578125" style="31" customWidth="1"/>
    <col min="6158" max="6158" width="11.7109375" style="31" customWidth="1"/>
    <col min="6159" max="6159" width="13.140625" style="31" customWidth="1"/>
    <col min="6160" max="6395" width="9.140625" style="31"/>
    <col min="6396" max="6396" width="3.7109375" style="31" customWidth="1"/>
    <col min="6397" max="6397" width="30.42578125" style="31" customWidth="1"/>
    <col min="6398" max="6398" width="7.140625" style="31" customWidth="1"/>
    <col min="6399" max="6399" width="10.7109375" style="31" customWidth="1"/>
    <col min="6400" max="6400" width="10.42578125" style="31" customWidth="1"/>
    <col min="6401" max="6401" width="10.5703125" style="31" customWidth="1"/>
    <col min="6402" max="6402" width="10.42578125" style="31" customWidth="1"/>
    <col min="6403" max="6405" width="10.5703125" style="31" customWidth="1"/>
    <col min="6406" max="6408" width="10.42578125" style="31" customWidth="1"/>
    <col min="6409" max="6409" width="10.5703125" style="31" customWidth="1"/>
    <col min="6410" max="6410" width="10.28515625" style="31" customWidth="1"/>
    <col min="6411" max="6411" width="10.140625" style="31" customWidth="1"/>
    <col min="6412" max="6412" width="11.7109375" style="31" customWidth="1"/>
    <col min="6413" max="6413" width="12.42578125" style="31" customWidth="1"/>
    <col min="6414" max="6414" width="11.7109375" style="31" customWidth="1"/>
    <col min="6415" max="6415" width="13.140625" style="31" customWidth="1"/>
    <col min="6416" max="6651" width="9.140625" style="31"/>
    <col min="6652" max="6652" width="3.7109375" style="31" customWidth="1"/>
    <col min="6653" max="6653" width="30.42578125" style="31" customWidth="1"/>
    <col min="6654" max="6654" width="7.140625" style="31" customWidth="1"/>
    <col min="6655" max="6655" width="10.7109375" style="31" customWidth="1"/>
    <col min="6656" max="6656" width="10.42578125" style="31" customWidth="1"/>
    <col min="6657" max="6657" width="10.5703125" style="31" customWidth="1"/>
    <col min="6658" max="6658" width="10.42578125" style="31" customWidth="1"/>
    <col min="6659" max="6661" width="10.5703125" style="31" customWidth="1"/>
    <col min="6662" max="6664" width="10.42578125" style="31" customWidth="1"/>
    <col min="6665" max="6665" width="10.5703125" style="31" customWidth="1"/>
    <col min="6666" max="6666" width="10.28515625" style="31" customWidth="1"/>
    <col min="6667" max="6667" width="10.140625" style="31" customWidth="1"/>
    <col min="6668" max="6668" width="11.7109375" style="31" customWidth="1"/>
    <col min="6669" max="6669" width="12.42578125" style="31" customWidth="1"/>
    <col min="6670" max="6670" width="11.7109375" style="31" customWidth="1"/>
    <col min="6671" max="6671" width="13.140625" style="31" customWidth="1"/>
    <col min="6672" max="6907" width="9.140625" style="31"/>
    <col min="6908" max="6908" width="3.7109375" style="31" customWidth="1"/>
    <col min="6909" max="6909" width="30.42578125" style="31" customWidth="1"/>
    <col min="6910" max="6910" width="7.140625" style="31" customWidth="1"/>
    <col min="6911" max="6911" width="10.7109375" style="31" customWidth="1"/>
    <col min="6912" max="6912" width="10.42578125" style="31" customWidth="1"/>
    <col min="6913" max="6913" width="10.5703125" style="31" customWidth="1"/>
    <col min="6914" max="6914" width="10.42578125" style="31" customWidth="1"/>
    <col min="6915" max="6917" width="10.5703125" style="31" customWidth="1"/>
    <col min="6918" max="6920" width="10.42578125" style="31" customWidth="1"/>
    <col min="6921" max="6921" width="10.5703125" style="31" customWidth="1"/>
    <col min="6922" max="6922" width="10.28515625" style="31" customWidth="1"/>
    <col min="6923" max="6923" width="10.140625" style="31" customWidth="1"/>
    <col min="6924" max="6924" width="11.7109375" style="31" customWidth="1"/>
    <col min="6925" max="6925" width="12.42578125" style="31" customWidth="1"/>
    <col min="6926" max="6926" width="11.7109375" style="31" customWidth="1"/>
    <col min="6927" max="6927" width="13.140625" style="31" customWidth="1"/>
    <col min="6928" max="7163" width="9.140625" style="31"/>
    <col min="7164" max="7164" width="3.7109375" style="31" customWidth="1"/>
    <col min="7165" max="7165" width="30.42578125" style="31" customWidth="1"/>
    <col min="7166" max="7166" width="7.140625" style="31" customWidth="1"/>
    <col min="7167" max="7167" width="10.7109375" style="31" customWidth="1"/>
    <col min="7168" max="7168" width="10.42578125" style="31" customWidth="1"/>
    <col min="7169" max="7169" width="10.5703125" style="31" customWidth="1"/>
    <col min="7170" max="7170" width="10.42578125" style="31" customWidth="1"/>
    <col min="7171" max="7173" width="10.5703125" style="31" customWidth="1"/>
    <col min="7174" max="7176" width="10.42578125" style="31" customWidth="1"/>
    <col min="7177" max="7177" width="10.5703125" style="31" customWidth="1"/>
    <col min="7178" max="7178" width="10.28515625" style="31" customWidth="1"/>
    <col min="7179" max="7179" width="10.140625" style="31" customWidth="1"/>
    <col min="7180" max="7180" width="11.7109375" style="31" customWidth="1"/>
    <col min="7181" max="7181" width="12.42578125" style="31" customWidth="1"/>
    <col min="7182" max="7182" width="11.7109375" style="31" customWidth="1"/>
    <col min="7183" max="7183" width="13.140625" style="31" customWidth="1"/>
    <col min="7184" max="7419" width="9.140625" style="31"/>
    <col min="7420" max="7420" width="3.7109375" style="31" customWidth="1"/>
    <col min="7421" max="7421" width="30.42578125" style="31" customWidth="1"/>
    <col min="7422" max="7422" width="7.140625" style="31" customWidth="1"/>
    <col min="7423" max="7423" width="10.7109375" style="31" customWidth="1"/>
    <col min="7424" max="7424" width="10.42578125" style="31" customWidth="1"/>
    <col min="7425" max="7425" width="10.5703125" style="31" customWidth="1"/>
    <col min="7426" max="7426" width="10.42578125" style="31" customWidth="1"/>
    <col min="7427" max="7429" width="10.5703125" style="31" customWidth="1"/>
    <col min="7430" max="7432" width="10.42578125" style="31" customWidth="1"/>
    <col min="7433" max="7433" width="10.5703125" style="31" customWidth="1"/>
    <col min="7434" max="7434" width="10.28515625" style="31" customWidth="1"/>
    <col min="7435" max="7435" width="10.140625" style="31" customWidth="1"/>
    <col min="7436" max="7436" width="11.7109375" style="31" customWidth="1"/>
    <col min="7437" max="7437" width="12.42578125" style="31" customWidth="1"/>
    <col min="7438" max="7438" width="11.7109375" style="31" customWidth="1"/>
    <col min="7439" max="7439" width="13.140625" style="31" customWidth="1"/>
    <col min="7440" max="7675" width="9.140625" style="31"/>
    <col min="7676" max="7676" width="3.7109375" style="31" customWidth="1"/>
    <col min="7677" max="7677" width="30.42578125" style="31" customWidth="1"/>
    <col min="7678" max="7678" width="7.140625" style="31" customWidth="1"/>
    <col min="7679" max="7679" width="10.7109375" style="31" customWidth="1"/>
    <col min="7680" max="7680" width="10.42578125" style="31" customWidth="1"/>
    <col min="7681" max="7681" width="10.5703125" style="31" customWidth="1"/>
    <col min="7682" max="7682" width="10.42578125" style="31" customWidth="1"/>
    <col min="7683" max="7685" width="10.5703125" style="31" customWidth="1"/>
    <col min="7686" max="7688" width="10.42578125" style="31" customWidth="1"/>
    <col min="7689" max="7689" width="10.5703125" style="31" customWidth="1"/>
    <col min="7690" max="7690" width="10.28515625" style="31" customWidth="1"/>
    <col min="7691" max="7691" width="10.140625" style="31" customWidth="1"/>
    <col min="7692" max="7692" width="11.7109375" style="31" customWidth="1"/>
    <col min="7693" max="7693" width="12.42578125" style="31" customWidth="1"/>
    <col min="7694" max="7694" width="11.7109375" style="31" customWidth="1"/>
    <col min="7695" max="7695" width="13.140625" style="31" customWidth="1"/>
    <col min="7696" max="7931" width="9.140625" style="31"/>
    <col min="7932" max="7932" width="3.7109375" style="31" customWidth="1"/>
    <col min="7933" max="7933" width="30.42578125" style="31" customWidth="1"/>
    <col min="7934" max="7934" width="7.140625" style="31" customWidth="1"/>
    <col min="7935" max="7935" width="10.7109375" style="31" customWidth="1"/>
    <col min="7936" max="7936" width="10.42578125" style="31" customWidth="1"/>
    <col min="7937" max="7937" width="10.5703125" style="31" customWidth="1"/>
    <col min="7938" max="7938" width="10.42578125" style="31" customWidth="1"/>
    <col min="7939" max="7941" width="10.5703125" style="31" customWidth="1"/>
    <col min="7942" max="7944" width="10.42578125" style="31" customWidth="1"/>
    <col min="7945" max="7945" width="10.5703125" style="31" customWidth="1"/>
    <col min="7946" max="7946" width="10.28515625" style="31" customWidth="1"/>
    <col min="7947" max="7947" width="10.140625" style="31" customWidth="1"/>
    <col min="7948" max="7948" width="11.7109375" style="31" customWidth="1"/>
    <col min="7949" max="7949" width="12.42578125" style="31" customWidth="1"/>
    <col min="7950" max="7950" width="11.7109375" style="31" customWidth="1"/>
    <col min="7951" max="7951" width="13.140625" style="31" customWidth="1"/>
    <col min="7952" max="8187" width="9.140625" style="31"/>
    <col min="8188" max="8188" width="3.7109375" style="31" customWidth="1"/>
    <col min="8189" max="8189" width="30.42578125" style="31" customWidth="1"/>
    <col min="8190" max="8190" width="7.140625" style="31" customWidth="1"/>
    <col min="8191" max="8191" width="10.7109375" style="31" customWidth="1"/>
    <col min="8192" max="8192" width="10.42578125" style="31" customWidth="1"/>
    <col min="8193" max="8193" width="10.5703125" style="31" customWidth="1"/>
    <col min="8194" max="8194" width="10.42578125" style="31" customWidth="1"/>
    <col min="8195" max="8197" width="10.5703125" style="31" customWidth="1"/>
    <col min="8198" max="8200" width="10.42578125" style="31" customWidth="1"/>
    <col min="8201" max="8201" width="10.5703125" style="31" customWidth="1"/>
    <col min="8202" max="8202" width="10.28515625" style="31" customWidth="1"/>
    <col min="8203" max="8203" width="10.140625" style="31" customWidth="1"/>
    <col min="8204" max="8204" width="11.7109375" style="31" customWidth="1"/>
    <col min="8205" max="8205" width="12.42578125" style="31" customWidth="1"/>
    <col min="8206" max="8206" width="11.7109375" style="31" customWidth="1"/>
    <col min="8207" max="8207" width="13.140625" style="31" customWidth="1"/>
    <col min="8208" max="8443" width="9.140625" style="31"/>
    <col min="8444" max="8444" width="3.7109375" style="31" customWidth="1"/>
    <col min="8445" max="8445" width="30.42578125" style="31" customWidth="1"/>
    <col min="8446" max="8446" width="7.140625" style="31" customWidth="1"/>
    <col min="8447" max="8447" width="10.7109375" style="31" customWidth="1"/>
    <col min="8448" max="8448" width="10.42578125" style="31" customWidth="1"/>
    <col min="8449" max="8449" width="10.5703125" style="31" customWidth="1"/>
    <col min="8450" max="8450" width="10.42578125" style="31" customWidth="1"/>
    <col min="8451" max="8453" width="10.5703125" style="31" customWidth="1"/>
    <col min="8454" max="8456" width="10.42578125" style="31" customWidth="1"/>
    <col min="8457" max="8457" width="10.5703125" style="31" customWidth="1"/>
    <col min="8458" max="8458" width="10.28515625" style="31" customWidth="1"/>
    <col min="8459" max="8459" width="10.140625" style="31" customWidth="1"/>
    <col min="8460" max="8460" width="11.7109375" style="31" customWidth="1"/>
    <col min="8461" max="8461" width="12.42578125" style="31" customWidth="1"/>
    <col min="8462" max="8462" width="11.7109375" style="31" customWidth="1"/>
    <col min="8463" max="8463" width="13.140625" style="31" customWidth="1"/>
    <col min="8464" max="8699" width="9.140625" style="31"/>
    <col min="8700" max="8700" width="3.7109375" style="31" customWidth="1"/>
    <col min="8701" max="8701" width="30.42578125" style="31" customWidth="1"/>
    <col min="8702" max="8702" width="7.140625" style="31" customWidth="1"/>
    <col min="8703" max="8703" width="10.7109375" style="31" customWidth="1"/>
    <col min="8704" max="8704" width="10.42578125" style="31" customWidth="1"/>
    <col min="8705" max="8705" width="10.5703125" style="31" customWidth="1"/>
    <col min="8706" max="8706" width="10.42578125" style="31" customWidth="1"/>
    <col min="8707" max="8709" width="10.5703125" style="31" customWidth="1"/>
    <col min="8710" max="8712" width="10.42578125" style="31" customWidth="1"/>
    <col min="8713" max="8713" width="10.5703125" style="31" customWidth="1"/>
    <col min="8714" max="8714" width="10.28515625" style="31" customWidth="1"/>
    <col min="8715" max="8715" width="10.140625" style="31" customWidth="1"/>
    <col min="8716" max="8716" width="11.7109375" style="31" customWidth="1"/>
    <col min="8717" max="8717" width="12.42578125" style="31" customWidth="1"/>
    <col min="8718" max="8718" width="11.7109375" style="31" customWidth="1"/>
    <col min="8719" max="8719" width="13.140625" style="31" customWidth="1"/>
    <col min="8720" max="8955" width="9.140625" style="31"/>
    <col min="8956" max="8956" width="3.7109375" style="31" customWidth="1"/>
    <col min="8957" max="8957" width="30.42578125" style="31" customWidth="1"/>
    <col min="8958" max="8958" width="7.140625" style="31" customWidth="1"/>
    <col min="8959" max="8959" width="10.7109375" style="31" customWidth="1"/>
    <col min="8960" max="8960" width="10.42578125" style="31" customWidth="1"/>
    <col min="8961" max="8961" width="10.5703125" style="31" customWidth="1"/>
    <col min="8962" max="8962" width="10.42578125" style="31" customWidth="1"/>
    <col min="8963" max="8965" width="10.5703125" style="31" customWidth="1"/>
    <col min="8966" max="8968" width="10.42578125" style="31" customWidth="1"/>
    <col min="8969" max="8969" width="10.5703125" style="31" customWidth="1"/>
    <col min="8970" max="8970" width="10.28515625" style="31" customWidth="1"/>
    <col min="8971" max="8971" width="10.140625" style="31" customWidth="1"/>
    <col min="8972" max="8972" width="11.7109375" style="31" customWidth="1"/>
    <col min="8973" max="8973" width="12.42578125" style="31" customWidth="1"/>
    <col min="8974" max="8974" width="11.7109375" style="31" customWidth="1"/>
    <col min="8975" max="8975" width="13.140625" style="31" customWidth="1"/>
    <col min="8976" max="9211" width="9.140625" style="31"/>
    <col min="9212" max="9212" width="3.7109375" style="31" customWidth="1"/>
    <col min="9213" max="9213" width="30.42578125" style="31" customWidth="1"/>
    <col min="9214" max="9214" width="7.140625" style="31" customWidth="1"/>
    <col min="9215" max="9215" width="10.7109375" style="31" customWidth="1"/>
    <col min="9216" max="9216" width="10.42578125" style="31" customWidth="1"/>
    <col min="9217" max="9217" width="10.5703125" style="31" customWidth="1"/>
    <col min="9218" max="9218" width="10.42578125" style="31" customWidth="1"/>
    <col min="9219" max="9221" width="10.5703125" style="31" customWidth="1"/>
    <col min="9222" max="9224" width="10.42578125" style="31" customWidth="1"/>
    <col min="9225" max="9225" width="10.5703125" style="31" customWidth="1"/>
    <col min="9226" max="9226" width="10.28515625" style="31" customWidth="1"/>
    <col min="9227" max="9227" width="10.140625" style="31" customWidth="1"/>
    <col min="9228" max="9228" width="11.7109375" style="31" customWidth="1"/>
    <col min="9229" max="9229" width="12.42578125" style="31" customWidth="1"/>
    <col min="9230" max="9230" width="11.7109375" style="31" customWidth="1"/>
    <col min="9231" max="9231" width="13.140625" style="31" customWidth="1"/>
    <col min="9232" max="9467" width="9.140625" style="31"/>
    <col min="9468" max="9468" width="3.7109375" style="31" customWidth="1"/>
    <col min="9469" max="9469" width="30.42578125" style="31" customWidth="1"/>
    <col min="9470" max="9470" width="7.140625" style="31" customWidth="1"/>
    <col min="9471" max="9471" width="10.7109375" style="31" customWidth="1"/>
    <col min="9472" max="9472" width="10.42578125" style="31" customWidth="1"/>
    <col min="9473" max="9473" width="10.5703125" style="31" customWidth="1"/>
    <col min="9474" max="9474" width="10.42578125" style="31" customWidth="1"/>
    <col min="9475" max="9477" width="10.5703125" style="31" customWidth="1"/>
    <col min="9478" max="9480" width="10.42578125" style="31" customWidth="1"/>
    <col min="9481" max="9481" width="10.5703125" style="31" customWidth="1"/>
    <col min="9482" max="9482" width="10.28515625" style="31" customWidth="1"/>
    <col min="9483" max="9483" width="10.140625" style="31" customWidth="1"/>
    <col min="9484" max="9484" width="11.7109375" style="31" customWidth="1"/>
    <col min="9485" max="9485" width="12.42578125" style="31" customWidth="1"/>
    <col min="9486" max="9486" width="11.7109375" style="31" customWidth="1"/>
    <col min="9487" max="9487" width="13.140625" style="31" customWidth="1"/>
    <col min="9488" max="9723" width="9.140625" style="31"/>
    <col min="9724" max="9724" width="3.7109375" style="31" customWidth="1"/>
    <col min="9725" max="9725" width="30.42578125" style="31" customWidth="1"/>
    <col min="9726" max="9726" width="7.140625" style="31" customWidth="1"/>
    <col min="9727" max="9727" width="10.7109375" style="31" customWidth="1"/>
    <col min="9728" max="9728" width="10.42578125" style="31" customWidth="1"/>
    <col min="9729" max="9729" width="10.5703125" style="31" customWidth="1"/>
    <col min="9730" max="9730" width="10.42578125" style="31" customWidth="1"/>
    <col min="9731" max="9733" width="10.5703125" style="31" customWidth="1"/>
    <col min="9734" max="9736" width="10.42578125" style="31" customWidth="1"/>
    <col min="9737" max="9737" width="10.5703125" style="31" customWidth="1"/>
    <col min="9738" max="9738" width="10.28515625" style="31" customWidth="1"/>
    <col min="9739" max="9739" width="10.140625" style="31" customWidth="1"/>
    <col min="9740" max="9740" width="11.7109375" style="31" customWidth="1"/>
    <col min="9741" max="9741" width="12.42578125" style="31" customWidth="1"/>
    <col min="9742" max="9742" width="11.7109375" style="31" customWidth="1"/>
    <col min="9743" max="9743" width="13.140625" style="31" customWidth="1"/>
    <col min="9744" max="9979" width="9.140625" style="31"/>
    <col min="9980" max="9980" width="3.7109375" style="31" customWidth="1"/>
    <col min="9981" max="9981" width="30.42578125" style="31" customWidth="1"/>
    <col min="9982" max="9982" width="7.140625" style="31" customWidth="1"/>
    <col min="9983" max="9983" width="10.7109375" style="31" customWidth="1"/>
    <col min="9984" max="9984" width="10.42578125" style="31" customWidth="1"/>
    <col min="9985" max="9985" width="10.5703125" style="31" customWidth="1"/>
    <col min="9986" max="9986" width="10.42578125" style="31" customWidth="1"/>
    <col min="9987" max="9989" width="10.5703125" style="31" customWidth="1"/>
    <col min="9990" max="9992" width="10.42578125" style="31" customWidth="1"/>
    <col min="9993" max="9993" width="10.5703125" style="31" customWidth="1"/>
    <col min="9994" max="9994" width="10.28515625" style="31" customWidth="1"/>
    <col min="9995" max="9995" width="10.140625" style="31" customWidth="1"/>
    <col min="9996" max="9996" width="11.7109375" style="31" customWidth="1"/>
    <col min="9997" max="9997" width="12.42578125" style="31" customWidth="1"/>
    <col min="9998" max="9998" width="11.7109375" style="31" customWidth="1"/>
    <col min="9999" max="9999" width="13.140625" style="31" customWidth="1"/>
    <col min="10000" max="10235" width="9.140625" style="31"/>
    <col min="10236" max="10236" width="3.7109375" style="31" customWidth="1"/>
    <col min="10237" max="10237" width="30.42578125" style="31" customWidth="1"/>
    <col min="10238" max="10238" width="7.140625" style="31" customWidth="1"/>
    <col min="10239" max="10239" width="10.7109375" style="31" customWidth="1"/>
    <col min="10240" max="10240" width="10.42578125" style="31" customWidth="1"/>
    <col min="10241" max="10241" width="10.5703125" style="31" customWidth="1"/>
    <col min="10242" max="10242" width="10.42578125" style="31" customWidth="1"/>
    <col min="10243" max="10245" width="10.5703125" style="31" customWidth="1"/>
    <col min="10246" max="10248" width="10.42578125" style="31" customWidth="1"/>
    <col min="10249" max="10249" width="10.5703125" style="31" customWidth="1"/>
    <col min="10250" max="10250" width="10.28515625" style="31" customWidth="1"/>
    <col min="10251" max="10251" width="10.140625" style="31" customWidth="1"/>
    <col min="10252" max="10252" width="11.7109375" style="31" customWidth="1"/>
    <col min="10253" max="10253" width="12.42578125" style="31" customWidth="1"/>
    <col min="10254" max="10254" width="11.7109375" style="31" customWidth="1"/>
    <col min="10255" max="10255" width="13.140625" style="31" customWidth="1"/>
    <col min="10256" max="10491" width="9.140625" style="31"/>
    <col min="10492" max="10492" width="3.7109375" style="31" customWidth="1"/>
    <col min="10493" max="10493" width="30.42578125" style="31" customWidth="1"/>
    <col min="10494" max="10494" width="7.140625" style="31" customWidth="1"/>
    <col min="10495" max="10495" width="10.7109375" style="31" customWidth="1"/>
    <col min="10496" max="10496" width="10.42578125" style="31" customWidth="1"/>
    <col min="10497" max="10497" width="10.5703125" style="31" customWidth="1"/>
    <col min="10498" max="10498" width="10.42578125" style="31" customWidth="1"/>
    <col min="10499" max="10501" width="10.5703125" style="31" customWidth="1"/>
    <col min="10502" max="10504" width="10.42578125" style="31" customWidth="1"/>
    <col min="10505" max="10505" width="10.5703125" style="31" customWidth="1"/>
    <col min="10506" max="10506" width="10.28515625" style="31" customWidth="1"/>
    <col min="10507" max="10507" width="10.140625" style="31" customWidth="1"/>
    <col min="10508" max="10508" width="11.7109375" style="31" customWidth="1"/>
    <col min="10509" max="10509" width="12.42578125" style="31" customWidth="1"/>
    <col min="10510" max="10510" width="11.7109375" style="31" customWidth="1"/>
    <col min="10511" max="10511" width="13.140625" style="31" customWidth="1"/>
    <col min="10512" max="10747" width="9.140625" style="31"/>
    <col min="10748" max="10748" width="3.7109375" style="31" customWidth="1"/>
    <col min="10749" max="10749" width="30.42578125" style="31" customWidth="1"/>
    <col min="10750" max="10750" width="7.140625" style="31" customWidth="1"/>
    <col min="10751" max="10751" width="10.7109375" style="31" customWidth="1"/>
    <col min="10752" max="10752" width="10.42578125" style="31" customWidth="1"/>
    <col min="10753" max="10753" width="10.5703125" style="31" customWidth="1"/>
    <col min="10754" max="10754" width="10.42578125" style="31" customWidth="1"/>
    <col min="10755" max="10757" width="10.5703125" style="31" customWidth="1"/>
    <col min="10758" max="10760" width="10.42578125" style="31" customWidth="1"/>
    <col min="10761" max="10761" width="10.5703125" style="31" customWidth="1"/>
    <col min="10762" max="10762" width="10.28515625" style="31" customWidth="1"/>
    <col min="10763" max="10763" width="10.140625" style="31" customWidth="1"/>
    <col min="10764" max="10764" width="11.7109375" style="31" customWidth="1"/>
    <col min="10765" max="10765" width="12.42578125" style="31" customWidth="1"/>
    <col min="10766" max="10766" width="11.7109375" style="31" customWidth="1"/>
    <col min="10767" max="10767" width="13.140625" style="31" customWidth="1"/>
    <col min="10768" max="11003" width="9.140625" style="31"/>
    <col min="11004" max="11004" width="3.7109375" style="31" customWidth="1"/>
    <col min="11005" max="11005" width="30.42578125" style="31" customWidth="1"/>
    <col min="11006" max="11006" width="7.140625" style="31" customWidth="1"/>
    <col min="11007" max="11007" width="10.7109375" style="31" customWidth="1"/>
    <col min="11008" max="11008" width="10.42578125" style="31" customWidth="1"/>
    <col min="11009" max="11009" width="10.5703125" style="31" customWidth="1"/>
    <col min="11010" max="11010" width="10.42578125" style="31" customWidth="1"/>
    <col min="11011" max="11013" width="10.5703125" style="31" customWidth="1"/>
    <col min="11014" max="11016" width="10.42578125" style="31" customWidth="1"/>
    <col min="11017" max="11017" width="10.5703125" style="31" customWidth="1"/>
    <col min="11018" max="11018" width="10.28515625" style="31" customWidth="1"/>
    <col min="11019" max="11019" width="10.140625" style="31" customWidth="1"/>
    <col min="11020" max="11020" width="11.7109375" style="31" customWidth="1"/>
    <col min="11021" max="11021" width="12.42578125" style="31" customWidth="1"/>
    <col min="11022" max="11022" width="11.7109375" style="31" customWidth="1"/>
    <col min="11023" max="11023" width="13.140625" style="31" customWidth="1"/>
    <col min="11024" max="11259" width="9.140625" style="31"/>
    <col min="11260" max="11260" width="3.7109375" style="31" customWidth="1"/>
    <col min="11261" max="11261" width="30.42578125" style="31" customWidth="1"/>
    <col min="11262" max="11262" width="7.140625" style="31" customWidth="1"/>
    <col min="11263" max="11263" width="10.7109375" style="31" customWidth="1"/>
    <col min="11264" max="11264" width="10.42578125" style="31" customWidth="1"/>
    <col min="11265" max="11265" width="10.5703125" style="31" customWidth="1"/>
    <col min="11266" max="11266" width="10.42578125" style="31" customWidth="1"/>
    <col min="11267" max="11269" width="10.5703125" style="31" customWidth="1"/>
    <col min="11270" max="11272" width="10.42578125" style="31" customWidth="1"/>
    <col min="11273" max="11273" width="10.5703125" style="31" customWidth="1"/>
    <col min="11274" max="11274" width="10.28515625" style="31" customWidth="1"/>
    <col min="11275" max="11275" width="10.140625" style="31" customWidth="1"/>
    <col min="11276" max="11276" width="11.7109375" style="31" customWidth="1"/>
    <col min="11277" max="11277" width="12.42578125" style="31" customWidth="1"/>
    <col min="11278" max="11278" width="11.7109375" style="31" customWidth="1"/>
    <col min="11279" max="11279" width="13.140625" style="31" customWidth="1"/>
    <col min="11280" max="11515" width="9.140625" style="31"/>
    <col min="11516" max="11516" width="3.7109375" style="31" customWidth="1"/>
    <col min="11517" max="11517" width="30.42578125" style="31" customWidth="1"/>
    <col min="11518" max="11518" width="7.140625" style="31" customWidth="1"/>
    <col min="11519" max="11519" width="10.7109375" style="31" customWidth="1"/>
    <col min="11520" max="11520" width="10.42578125" style="31" customWidth="1"/>
    <col min="11521" max="11521" width="10.5703125" style="31" customWidth="1"/>
    <col min="11522" max="11522" width="10.42578125" style="31" customWidth="1"/>
    <col min="11523" max="11525" width="10.5703125" style="31" customWidth="1"/>
    <col min="11526" max="11528" width="10.42578125" style="31" customWidth="1"/>
    <col min="11529" max="11529" width="10.5703125" style="31" customWidth="1"/>
    <col min="11530" max="11530" width="10.28515625" style="31" customWidth="1"/>
    <col min="11531" max="11531" width="10.140625" style="31" customWidth="1"/>
    <col min="11532" max="11532" width="11.7109375" style="31" customWidth="1"/>
    <col min="11533" max="11533" width="12.42578125" style="31" customWidth="1"/>
    <col min="11534" max="11534" width="11.7109375" style="31" customWidth="1"/>
    <col min="11535" max="11535" width="13.140625" style="31" customWidth="1"/>
    <col min="11536" max="11771" width="9.140625" style="31"/>
    <col min="11772" max="11772" width="3.7109375" style="31" customWidth="1"/>
    <col min="11773" max="11773" width="30.42578125" style="31" customWidth="1"/>
    <col min="11774" max="11774" width="7.140625" style="31" customWidth="1"/>
    <col min="11775" max="11775" width="10.7109375" style="31" customWidth="1"/>
    <col min="11776" max="11776" width="10.42578125" style="31" customWidth="1"/>
    <col min="11777" max="11777" width="10.5703125" style="31" customWidth="1"/>
    <col min="11778" max="11778" width="10.42578125" style="31" customWidth="1"/>
    <col min="11779" max="11781" width="10.5703125" style="31" customWidth="1"/>
    <col min="11782" max="11784" width="10.42578125" style="31" customWidth="1"/>
    <col min="11785" max="11785" width="10.5703125" style="31" customWidth="1"/>
    <col min="11786" max="11786" width="10.28515625" style="31" customWidth="1"/>
    <col min="11787" max="11787" width="10.140625" style="31" customWidth="1"/>
    <col min="11788" max="11788" width="11.7109375" style="31" customWidth="1"/>
    <col min="11789" max="11789" width="12.42578125" style="31" customWidth="1"/>
    <col min="11790" max="11790" width="11.7109375" style="31" customWidth="1"/>
    <col min="11791" max="11791" width="13.140625" style="31" customWidth="1"/>
    <col min="11792" max="12027" width="9.140625" style="31"/>
    <col min="12028" max="12028" width="3.7109375" style="31" customWidth="1"/>
    <col min="12029" max="12029" width="30.42578125" style="31" customWidth="1"/>
    <col min="12030" max="12030" width="7.140625" style="31" customWidth="1"/>
    <col min="12031" max="12031" width="10.7109375" style="31" customWidth="1"/>
    <col min="12032" max="12032" width="10.42578125" style="31" customWidth="1"/>
    <col min="12033" max="12033" width="10.5703125" style="31" customWidth="1"/>
    <col min="12034" max="12034" width="10.42578125" style="31" customWidth="1"/>
    <col min="12035" max="12037" width="10.5703125" style="31" customWidth="1"/>
    <col min="12038" max="12040" width="10.42578125" style="31" customWidth="1"/>
    <col min="12041" max="12041" width="10.5703125" style="31" customWidth="1"/>
    <col min="12042" max="12042" width="10.28515625" style="31" customWidth="1"/>
    <col min="12043" max="12043" width="10.140625" style="31" customWidth="1"/>
    <col min="12044" max="12044" width="11.7109375" style="31" customWidth="1"/>
    <col min="12045" max="12045" width="12.42578125" style="31" customWidth="1"/>
    <col min="12046" max="12046" width="11.7109375" style="31" customWidth="1"/>
    <col min="12047" max="12047" width="13.140625" style="31" customWidth="1"/>
    <col min="12048" max="12283" width="9.140625" style="31"/>
    <col min="12284" max="12284" width="3.7109375" style="31" customWidth="1"/>
    <col min="12285" max="12285" width="30.42578125" style="31" customWidth="1"/>
    <col min="12286" max="12286" width="7.140625" style="31" customWidth="1"/>
    <col min="12287" max="12287" width="10.7109375" style="31" customWidth="1"/>
    <col min="12288" max="12288" width="10.42578125" style="31" customWidth="1"/>
    <col min="12289" max="12289" width="10.5703125" style="31" customWidth="1"/>
    <col min="12290" max="12290" width="10.42578125" style="31" customWidth="1"/>
    <col min="12291" max="12293" width="10.5703125" style="31" customWidth="1"/>
    <col min="12294" max="12296" width="10.42578125" style="31" customWidth="1"/>
    <col min="12297" max="12297" width="10.5703125" style="31" customWidth="1"/>
    <col min="12298" max="12298" width="10.28515625" style="31" customWidth="1"/>
    <col min="12299" max="12299" width="10.140625" style="31" customWidth="1"/>
    <col min="12300" max="12300" width="11.7109375" style="31" customWidth="1"/>
    <col min="12301" max="12301" width="12.42578125" style="31" customWidth="1"/>
    <col min="12302" max="12302" width="11.7109375" style="31" customWidth="1"/>
    <col min="12303" max="12303" width="13.140625" style="31" customWidth="1"/>
    <col min="12304" max="12539" width="9.140625" style="31"/>
    <col min="12540" max="12540" width="3.7109375" style="31" customWidth="1"/>
    <col min="12541" max="12541" width="30.42578125" style="31" customWidth="1"/>
    <col min="12542" max="12542" width="7.140625" style="31" customWidth="1"/>
    <col min="12543" max="12543" width="10.7109375" style="31" customWidth="1"/>
    <col min="12544" max="12544" width="10.42578125" style="31" customWidth="1"/>
    <col min="12545" max="12545" width="10.5703125" style="31" customWidth="1"/>
    <col min="12546" max="12546" width="10.42578125" style="31" customWidth="1"/>
    <col min="12547" max="12549" width="10.5703125" style="31" customWidth="1"/>
    <col min="12550" max="12552" width="10.42578125" style="31" customWidth="1"/>
    <col min="12553" max="12553" width="10.5703125" style="31" customWidth="1"/>
    <col min="12554" max="12554" width="10.28515625" style="31" customWidth="1"/>
    <col min="12555" max="12555" width="10.140625" style="31" customWidth="1"/>
    <col min="12556" max="12556" width="11.7109375" style="31" customWidth="1"/>
    <col min="12557" max="12557" width="12.42578125" style="31" customWidth="1"/>
    <col min="12558" max="12558" width="11.7109375" style="31" customWidth="1"/>
    <col min="12559" max="12559" width="13.140625" style="31" customWidth="1"/>
    <col min="12560" max="12795" width="9.140625" style="31"/>
    <col min="12796" max="12796" width="3.7109375" style="31" customWidth="1"/>
    <col min="12797" max="12797" width="30.42578125" style="31" customWidth="1"/>
    <col min="12798" max="12798" width="7.140625" style="31" customWidth="1"/>
    <col min="12799" max="12799" width="10.7109375" style="31" customWidth="1"/>
    <col min="12800" max="12800" width="10.42578125" style="31" customWidth="1"/>
    <col min="12801" max="12801" width="10.5703125" style="31" customWidth="1"/>
    <col min="12802" max="12802" width="10.42578125" style="31" customWidth="1"/>
    <col min="12803" max="12805" width="10.5703125" style="31" customWidth="1"/>
    <col min="12806" max="12808" width="10.42578125" style="31" customWidth="1"/>
    <col min="12809" max="12809" width="10.5703125" style="31" customWidth="1"/>
    <col min="12810" max="12810" width="10.28515625" style="31" customWidth="1"/>
    <col min="12811" max="12811" width="10.140625" style="31" customWidth="1"/>
    <col min="12812" max="12812" width="11.7109375" style="31" customWidth="1"/>
    <col min="12813" max="12813" width="12.42578125" style="31" customWidth="1"/>
    <col min="12814" max="12814" width="11.7109375" style="31" customWidth="1"/>
    <col min="12815" max="12815" width="13.140625" style="31" customWidth="1"/>
    <col min="12816" max="13051" width="9.140625" style="31"/>
    <col min="13052" max="13052" width="3.7109375" style="31" customWidth="1"/>
    <col min="13053" max="13053" width="30.42578125" style="31" customWidth="1"/>
    <col min="13054" max="13054" width="7.140625" style="31" customWidth="1"/>
    <col min="13055" max="13055" width="10.7109375" style="31" customWidth="1"/>
    <col min="13056" max="13056" width="10.42578125" style="31" customWidth="1"/>
    <col min="13057" max="13057" width="10.5703125" style="31" customWidth="1"/>
    <col min="13058" max="13058" width="10.42578125" style="31" customWidth="1"/>
    <col min="13059" max="13061" width="10.5703125" style="31" customWidth="1"/>
    <col min="13062" max="13064" width="10.42578125" style="31" customWidth="1"/>
    <col min="13065" max="13065" width="10.5703125" style="31" customWidth="1"/>
    <col min="13066" max="13066" width="10.28515625" style="31" customWidth="1"/>
    <col min="13067" max="13067" width="10.140625" style="31" customWidth="1"/>
    <col min="13068" max="13068" width="11.7109375" style="31" customWidth="1"/>
    <col min="13069" max="13069" width="12.42578125" style="31" customWidth="1"/>
    <col min="13070" max="13070" width="11.7109375" style="31" customWidth="1"/>
    <col min="13071" max="13071" width="13.140625" style="31" customWidth="1"/>
    <col min="13072" max="13307" width="9.140625" style="31"/>
    <col min="13308" max="13308" width="3.7109375" style="31" customWidth="1"/>
    <col min="13309" max="13309" width="30.42578125" style="31" customWidth="1"/>
    <col min="13310" max="13310" width="7.140625" style="31" customWidth="1"/>
    <col min="13311" max="13311" width="10.7109375" style="31" customWidth="1"/>
    <col min="13312" max="13312" width="10.42578125" style="31" customWidth="1"/>
    <col min="13313" max="13313" width="10.5703125" style="31" customWidth="1"/>
    <col min="13314" max="13314" width="10.42578125" style="31" customWidth="1"/>
    <col min="13315" max="13317" width="10.5703125" style="31" customWidth="1"/>
    <col min="13318" max="13320" width="10.42578125" style="31" customWidth="1"/>
    <col min="13321" max="13321" width="10.5703125" style="31" customWidth="1"/>
    <col min="13322" max="13322" width="10.28515625" style="31" customWidth="1"/>
    <col min="13323" max="13323" width="10.140625" style="31" customWidth="1"/>
    <col min="13324" max="13324" width="11.7109375" style="31" customWidth="1"/>
    <col min="13325" max="13325" width="12.42578125" style="31" customWidth="1"/>
    <col min="13326" max="13326" width="11.7109375" style="31" customWidth="1"/>
    <col min="13327" max="13327" width="13.140625" style="31" customWidth="1"/>
    <col min="13328" max="13563" width="9.140625" style="31"/>
    <col min="13564" max="13564" width="3.7109375" style="31" customWidth="1"/>
    <col min="13565" max="13565" width="30.42578125" style="31" customWidth="1"/>
    <col min="13566" max="13566" width="7.140625" style="31" customWidth="1"/>
    <col min="13567" max="13567" width="10.7109375" style="31" customWidth="1"/>
    <col min="13568" max="13568" width="10.42578125" style="31" customWidth="1"/>
    <col min="13569" max="13569" width="10.5703125" style="31" customWidth="1"/>
    <col min="13570" max="13570" width="10.42578125" style="31" customWidth="1"/>
    <col min="13571" max="13573" width="10.5703125" style="31" customWidth="1"/>
    <col min="13574" max="13576" width="10.42578125" style="31" customWidth="1"/>
    <col min="13577" max="13577" width="10.5703125" style="31" customWidth="1"/>
    <col min="13578" max="13578" width="10.28515625" style="31" customWidth="1"/>
    <col min="13579" max="13579" width="10.140625" style="31" customWidth="1"/>
    <col min="13580" max="13580" width="11.7109375" style="31" customWidth="1"/>
    <col min="13581" max="13581" width="12.42578125" style="31" customWidth="1"/>
    <col min="13582" max="13582" width="11.7109375" style="31" customWidth="1"/>
    <col min="13583" max="13583" width="13.140625" style="31" customWidth="1"/>
    <col min="13584" max="13819" width="9.140625" style="31"/>
    <col min="13820" max="13820" width="3.7109375" style="31" customWidth="1"/>
    <col min="13821" max="13821" width="30.42578125" style="31" customWidth="1"/>
    <col min="13822" max="13822" width="7.140625" style="31" customWidth="1"/>
    <col min="13823" max="13823" width="10.7109375" style="31" customWidth="1"/>
    <col min="13824" max="13824" width="10.42578125" style="31" customWidth="1"/>
    <col min="13825" max="13825" width="10.5703125" style="31" customWidth="1"/>
    <col min="13826" max="13826" width="10.42578125" style="31" customWidth="1"/>
    <col min="13827" max="13829" width="10.5703125" style="31" customWidth="1"/>
    <col min="13830" max="13832" width="10.42578125" style="31" customWidth="1"/>
    <col min="13833" max="13833" width="10.5703125" style="31" customWidth="1"/>
    <col min="13834" max="13834" width="10.28515625" style="31" customWidth="1"/>
    <col min="13835" max="13835" width="10.140625" style="31" customWidth="1"/>
    <col min="13836" max="13836" width="11.7109375" style="31" customWidth="1"/>
    <col min="13837" max="13837" width="12.42578125" style="31" customWidth="1"/>
    <col min="13838" max="13838" width="11.7109375" style="31" customWidth="1"/>
    <col min="13839" max="13839" width="13.140625" style="31" customWidth="1"/>
    <col min="13840" max="14075" width="9.140625" style="31"/>
    <col min="14076" max="14076" width="3.7109375" style="31" customWidth="1"/>
    <col min="14077" max="14077" width="30.42578125" style="31" customWidth="1"/>
    <col min="14078" max="14078" width="7.140625" style="31" customWidth="1"/>
    <col min="14079" max="14079" width="10.7109375" style="31" customWidth="1"/>
    <col min="14080" max="14080" width="10.42578125" style="31" customWidth="1"/>
    <col min="14081" max="14081" width="10.5703125" style="31" customWidth="1"/>
    <col min="14082" max="14082" width="10.42578125" style="31" customWidth="1"/>
    <col min="14083" max="14085" width="10.5703125" style="31" customWidth="1"/>
    <col min="14086" max="14088" width="10.42578125" style="31" customWidth="1"/>
    <col min="14089" max="14089" width="10.5703125" style="31" customWidth="1"/>
    <col min="14090" max="14090" width="10.28515625" style="31" customWidth="1"/>
    <col min="14091" max="14091" width="10.140625" style="31" customWidth="1"/>
    <col min="14092" max="14092" width="11.7109375" style="31" customWidth="1"/>
    <col min="14093" max="14093" width="12.42578125" style="31" customWidth="1"/>
    <col min="14094" max="14094" width="11.7109375" style="31" customWidth="1"/>
    <col min="14095" max="14095" width="13.140625" style="31" customWidth="1"/>
    <col min="14096" max="14331" width="9.140625" style="31"/>
    <col min="14332" max="14332" width="3.7109375" style="31" customWidth="1"/>
    <col min="14333" max="14333" width="30.42578125" style="31" customWidth="1"/>
    <col min="14334" max="14334" width="7.140625" style="31" customWidth="1"/>
    <col min="14335" max="14335" width="10.7109375" style="31" customWidth="1"/>
    <col min="14336" max="14336" width="10.42578125" style="31" customWidth="1"/>
    <col min="14337" max="14337" width="10.5703125" style="31" customWidth="1"/>
    <col min="14338" max="14338" width="10.42578125" style="31" customWidth="1"/>
    <col min="14339" max="14341" width="10.5703125" style="31" customWidth="1"/>
    <col min="14342" max="14344" width="10.42578125" style="31" customWidth="1"/>
    <col min="14345" max="14345" width="10.5703125" style="31" customWidth="1"/>
    <col min="14346" max="14346" width="10.28515625" style="31" customWidth="1"/>
    <col min="14347" max="14347" width="10.140625" style="31" customWidth="1"/>
    <col min="14348" max="14348" width="11.7109375" style="31" customWidth="1"/>
    <col min="14349" max="14349" width="12.42578125" style="31" customWidth="1"/>
    <col min="14350" max="14350" width="11.7109375" style="31" customWidth="1"/>
    <col min="14351" max="14351" width="13.140625" style="31" customWidth="1"/>
    <col min="14352" max="14587" width="9.140625" style="31"/>
    <col min="14588" max="14588" width="3.7109375" style="31" customWidth="1"/>
    <col min="14589" max="14589" width="30.42578125" style="31" customWidth="1"/>
    <col min="14590" max="14590" width="7.140625" style="31" customWidth="1"/>
    <col min="14591" max="14591" width="10.7109375" style="31" customWidth="1"/>
    <col min="14592" max="14592" width="10.42578125" style="31" customWidth="1"/>
    <col min="14593" max="14593" width="10.5703125" style="31" customWidth="1"/>
    <col min="14594" max="14594" width="10.42578125" style="31" customWidth="1"/>
    <col min="14595" max="14597" width="10.5703125" style="31" customWidth="1"/>
    <col min="14598" max="14600" width="10.42578125" style="31" customWidth="1"/>
    <col min="14601" max="14601" width="10.5703125" style="31" customWidth="1"/>
    <col min="14602" max="14602" width="10.28515625" style="31" customWidth="1"/>
    <col min="14603" max="14603" width="10.140625" style="31" customWidth="1"/>
    <col min="14604" max="14604" width="11.7109375" style="31" customWidth="1"/>
    <col min="14605" max="14605" width="12.42578125" style="31" customWidth="1"/>
    <col min="14606" max="14606" width="11.7109375" style="31" customWidth="1"/>
    <col min="14607" max="14607" width="13.140625" style="31" customWidth="1"/>
    <col min="14608" max="14843" width="9.140625" style="31"/>
    <col min="14844" max="14844" width="3.7109375" style="31" customWidth="1"/>
    <col min="14845" max="14845" width="30.42578125" style="31" customWidth="1"/>
    <col min="14846" max="14846" width="7.140625" style="31" customWidth="1"/>
    <col min="14847" max="14847" width="10.7109375" style="31" customWidth="1"/>
    <col min="14848" max="14848" width="10.42578125" style="31" customWidth="1"/>
    <col min="14849" max="14849" width="10.5703125" style="31" customWidth="1"/>
    <col min="14850" max="14850" width="10.42578125" style="31" customWidth="1"/>
    <col min="14851" max="14853" width="10.5703125" style="31" customWidth="1"/>
    <col min="14854" max="14856" width="10.42578125" style="31" customWidth="1"/>
    <col min="14857" max="14857" width="10.5703125" style="31" customWidth="1"/>
    <col min="14858" max="14858" width="10.28515625" style="31" customWidth="1"/>
    <col min="14859" max="14859" width="10.140625" style="31" customWidth="1"/>
    <col min="14860" max="14860" width="11.7109375" style="31" customWidth="1"/>
    <col min="14861" max="14861" width="12.42578125" style="31" customWidth="1"/>
    <col min="14862" max="14862" width="11.7109375" style="31" customWidth="1"/>
    <col min="14863" max="14863" width="13.140625" style="31" customWidth="1"/>
    <col min="14864" max="15099" width="9.140625" style="31"/>
    <col min="15100" max="15100" width="3.7109375" style="31" customWidth="1"/>
    <col min="15101" max="15101" width="30.42578125" style="31" customWidth="1"/>
    <col min="15102" max="15102" width="7.140625" style="31" customWidth="1"/>
    <col min="15103" max="15103" width="10.7109375" style="31" customWidth="1"/>
    <col min="15104" max="15104" width="10.42578125" style="31" customWidth="1"/>
    <col min="15105" max="15105" width="10.5703125" style="31" customWidth="1"/>
    <col min="15106" max="15106" width="10.42578125" style="31" customWidth="1"/>
    <col min="15107" max="15109" width="10.5703125" style="31" customWidth="1"/>
    <col min="15110" max="15112" width="10.42578125" style="31" customWidth="1"/>
    <col min="15113" max="15113" width="10.5703125" style="31" customWidth="1"/>
    <col min="15114" max="15114" width="10.28515625" style="31" customWidth="1"/>
    <col min="15115" max="15115" width="10.140625" style="31" customWidth="1"/>
    <col min="15116" max="15116" width="11.7109375" style="31" customWidth="1"/>
    <col min="15117" max="15117" width="12.42578125" style="31" customWidth="1"/>
    <col min="15118" max="15118" width="11.7109375" style="31" customWidth="1"/>
    <col min="15119" max="15119" width="13.140625" style="31" customWidth="1"/>
    <col min="15120" max="15355" width="9.140625" style="31"/>
    <col min="15356" max="15356" width="3.7109375" style="31" customWidth="1"/>
    <col min="15357" max="15357" width="30.42578125" style="31" customWidth="1"/>
    <col min="15358" max="15358" width="7.140625" style="31" customWidth="1"/>
    <col min="15359" max="15359" width="10.7109375" style="31" customWidth="1"/>
    <col min="15360" max="15360" width="10.42578125" style="31" customWidth="1"/>
    <col min="15361" max="15361" width="10.5703125" style="31" customWidth="1"/>
    <col min="15362" max="15362" width="10.42578125" style="31" customWidth="1"/>
    <col min="15363" max="15365" width="10.5703125" style="31" customWidth="1"/>
    <col min="15366" max="15368" width="10.42578125" style="31" customWidth="1"/>
    <col min="15369" max="15369" width="10.5703125" style="31" customWidth="1"/>
    <col min="15370" max="15370" width="10.28515625" style="31" customWidth="1"/>
    <col min="15371" max="15371" width="10.140625" style="31" customWidth="1"/>
    <col min="15372" max="15372" width="11.7109375" style="31" customWidth="1"/>
    <col min="15373" max="15373" width="12.42578125" style="31" customWidth="1"/>
    <col min="15374" max="15374" width="11.7109375" style="31" customWidth="1"/>
    <col min="15375" max="15375" width="13.140625" style="31" customWidth="1"/>
    <col min="15376" max="15611" width="9.140625" style="31"/>
    <col min="15612" max="15612" width="3.7109375" style="31" customWidth="1"/>
    <col min="15613" max="15613" width="30.42578125" style="31" customWidth="1"/>
    <col min="15614" max="15614" width="7.140625" style="31" customWidth="1"/>
    <col min="15615" max="15615" width="10.7109375" style="31" customWidth="1"/>
    <col min="15616" max="15616" width="10.42578125" style="31" customWidth="1"/>
    <col min="15617" max="15617" width="10.5703125" style="31" customWidth="1"/>
    <col min="15618" max="15618" width="10.42578125" style="31" customWidth="1"/>
    <col min="15619" max="15621" width="10.5703125" style="31" customWidth="1"/>
    <col min="15622" max="15624" width="10.42578125" style="31" customWidth="1"/>
    <col min="15625" max="15625" width="10.5703125" style="31" customWidth="1"/>
    <col min="15626" max="15626" width="10.28515625" style="31" customWidth="1"/>
    <col min="15627" max="15627" width="10.140625" style="31" customWidth="1"/>
    <col min="15628" max="15628" width="11.7109375" style="31" customWidth="1"/>
    <col min="15629" max="15629" width="12.42578125" style="31" customWidth="1"/>
    <col min="15630" max="15630" width="11.7109375" style="31" customWidth="1"/>
    <col min="15631" max="15631" width="13.140625" style="31" customWidth="1"/>
    <col min="15632" max="15867" width="9.140625" style="31"/>
    <col min="15868" max="15868" width="3.7109375" style="31" customWidth="1"/>
    <col min="15869" max="15869" width="30.42578125" style="31" customWidth="1"/>
    <col min="15870" max="15870" width="7.140625" style="31" customWidth="1"/>
    <col min="15871" max="15871" width="10.7109375" style="31" customWidth="1"/>
    <col min="15872" max="15872" width="10.42578125" style="31" customWidth="1"/>
    <col min="15873" max="15873" width="10.5703125" style="31" customWidth="1"/>
    <col min="15874" max="15874" width="10.42578125" style="31" customWidth="1"/>
    <col min="15875" max="15877" width="10.5703125" style="31" customWidth="1"/>
    <col min="15878" max="15880" width="10.42578125" style="31" customWidth="1"/>
    <col min="15881" max="15881" width="10.5703125" style="31" customWidth="1"/>
    <col min="15882" max="15882" width="10.28515625" style="31" customWidth="1"/>
    <col min="15883" max="15883" width="10.140625" style="31" customWidth="1"/>
    <col min="15884" max="15884" width="11.7109375" style="31" customWidth="1"/>
    <col min="15885" max="15885" width="12.42578125" style="31" customWidth="1"/>
    <col min="15886" max="15886" width="11.7109375" style="31" customWidth="1"/>
    <col min="15887" max="15887" width="13.140625" style="31" customWidth="1"/>
    <col min="15888" max="16123" width="9.140625" style="31"/>
    <col min="16124" max="16124" width="3.7109375" style="31" customWidth="1"/>
    <col min="16125" max="16125" width="30.42578125" style="31" customWidth="1"/>
    <col min="16126" max="16126" width="7.140625" style="31" customWidth="1"/>
    <col min="16127" max="16127" width="10.7109375" style="31" customWidth="1"/>
    <col min="16128" max="16128" width="10.42578125" style="31" customWidth="1"/>
    <col min="16129" max="16129" width="10.5703125" style="31" customWidth="1"/>
    <col min="16130" max="16130" width="10.42578125" style="31" customWidth="1"/>
    <col min="16131" max="16133" width="10.5703125" style="31" customWidth="1"/>
    <col min="16134" max="16136" width="10.42578125" style="31" customWidth="1"/>
    <col min="16137" max="16137" width="10.5703125" style="31" customWidth="1"/>
    <col min="16138" max="16138" width="10.28515625" style="31" customWidth="1"/>
    <col min="16139" max="16139" width="10.140625" style="31" customWidth="1"/>
    <col min="16140" max="16140" width="11.7109375" style="31" customWidth="1"/>
    <col min="16141" max="16141" width="12.42578125" style="31" customWidth="1"/>
    <col min="16142" max="16142" width="11.7109375" style="31" customWidth="1"/>
    <col min="16143" max="16143" width="13.140625" style="31" customWidth="1"/>
    <col min="16144" max="16384" width="9.140625" style="31"/>
  </cols>
  <sheetData>
    <row r="1" spans="1:19" s="1" customFormat="1" ht="23.25">
      <c r="A1" s="662" t="s">
        <v>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</row>
    <row r="2" spans="1:19" s="1" customFormat="1" ht="18">
      <c r="A2" s="663" t="s">
        <v>197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</row>
    <row r="3" spans="1:19" s="1" customFormat="1" ht="18.75" thickBo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</row>
    <row r="4" spans="1:19" s="9" customFormat="1" ht="33.75" thickTop="1">
      <c r="A4" s="200" t="s">
        <v>1</v>
      </c>
      <c r="B4" s="201" t="s">
        <v>2</v>
      </c>
      <c r="C4" s="202"/>
      <c r="D4" s="203" t="s">
        <v>3</v>
      </c>
      <c r="E4" s="204" t="s">
        <v>4</v>
      </c>
      <c r="F4" s="203" t="s">
        <v>5</v>
      </c>
      <c r="G4" s="203" t="s">
        <v>6</v>
      </c>
      <c r="H4" s="203" t="s">
        <v>7</v>
      </c>
      <c r="I4" s="204" t="s">
        <v>8</v>
      </c>
      <c r="J4" s="204" t="s">
        <v>9</v>
      </c>
      <c r="K4" s="344" t="s">
        <v>10</v>
      </c>
      <c r="L4" s="344" t="s">
        <v>11</v>
      </c>
      <c r="M4" s="204" t="s">
        <v>12</v>
      </c>
      <c r="N4" s="344" t="s">
        <v>13</v>
      </c>
      <c r="O4" s="205" t="s">
        <v>14</v>
      </c>
      <c r="P4" s="204" t="s">
        <v>15</v>
      </c>
      <c r="Q4" s="6" t="s">
        <v>198</v>
      </c>
      <c r="R4" s="6" t="s">
        <v>199</v>
      </c>
      <c r="S4" s="8" t="s">
        <v>200</v>
      </c>
    </row>
    <row r="5" spans="1:19" s="15" customFormat="1" ht="30" customHeight="1">
      <c r="A5" s="206" t="s">
        <v>16</v>
      </c>
      <c r="B5" s="207" t="s">
        <v>201</v>
      </c>
      <c r="C5" s="208">
        <v>31</v>
      </c>
      <c r="D5" s="209">
        <v>170</v>
      </c>
      <c r="E5" s="209">
        <v>190</v>
      </c>
      <c r="F5" s="209">
        <v>196</v>
      </c>
      <c r="G5" s="209">
        <v>140</v>
      </c>
      <c r="H5" s="209">
        <v>150</v>
      </c>
      <c r="I5" s="209">
        <v>99</v>
      </c>
      <c r="J5" s="209">
        <v>135</v>
      </c>
      <c r="K5" s="345">
        <v>114</v>
      </c>
      <c r="L5" s="345">
        <v>71</v>
      </c>
      <c r="M5" s="209">
        <v>153</v>
      </c>
      <c r="N5" s="345">
        <v>27</v>
      </c>
      <c r="O5" s="209">
        <v>88</v>
      </c>
      <c r="P5" s="209">
        <v>74</v>
      </c>
      <c r="Q5" s="13">
        <f>SUM(D5:P5)</f>
        <v>1607</v>
      </c>
      <c r="R5" s="13">
        <v>1521</v>
      </c>
      <c r="S5" s="58">
        <v>1398</v>
      </c>
    </row>
    <row r="6" spans="1:19" s="21" customFormat="1" ht="20.100000000000001" customHeight="1">
      <c r="A6" s="210"/>
      <c r="B6" s="211" t="s">
        <v>17</v>
      </c>
      <c r="C6" s="212"/>
      <c r="D6" s="209">
        <v>25</v>
      </c>
      <c r="E6" s="209">
        <v>91</v>
      </c>
      <c r="F6" s="209">
        <v>20</v>
      </c>
      <c r="G6" s="209">
        <v>103</v>
      </c>
      <c r="H6" s="209">
        <v>18</v>
      </c>
      <c r="I6" s="209">
        <v>15</v>
      </c>
      <c r="J6" s="209">
        <v>35</v>
      </c>
      <c r="K6" s="345">
        <v>106</v>
      </c>
      <c r="L6" s="345">
        <v>58</v>
      </c>
      <c r="M6" s="209">
        <v>25</v>
      </c>
      <c r="N6" s="345">
        <v>81</v>
      </c>
      <c r="O6" s="209">
        <v>15</v>
      </c>
      <c r="P6" s="209">
        <v>0</v>
      </c>
      <c r="Q6" s="19">
        <f>SUM(D6:P6)</f>
        <v>592</v>
      </c>
      <c r="R6" s="19">
        <v>592</v>
      </c>
      <c r="S6" s="96">
        <v>653</v>
      </c>
    </row>
    <row r="7" spans="1:19" s="27" customFormat="1" ht="20.100000000000001" customHeight="1">
      <c r="A7" s="213"/>
      <c r="B7" s="214" t="s">
        <v>18</v>
      </c>
      <c r="C7" s="215"/>
      <c r="D7" s="216">
        <f>SUM(D5:D6)</f>
        <v>195</v>
      </c>
      <c r="E7" s="216">
        <f t="shared" ref="E7:P7" si="0">SUM(E5:E6)</f>
        <v>281</v>
      </c>
      <c r="F7" s="216">
        <f t="shared" si="0"/>
        <v>216</v>
      </c>
      <c r="G7" s="216">
        <f t="shared" si="0"/>
        <v>243</v>
      </c>
      <c r="H7" s="216">
        <f t="shared" si="0"/>
        <v>168</v>
      </c>
      <c r="I7" s="216">
        <f t="shared" si="0"/>
        <v>114</v>
      </c>
      <c r="J7" s="216">
        <f t="shared" si="0"/>
        <v>170</v>
      </c>
      <c r="K7" s="346">
        <f t="shared" si="0"/>
        <v>220</v>
      </c>
      <c r="L7" s="346">
        <f t="shared" si="0"/>
        <v>129</v>
      </c>
      <c r="M7" s="216">
        <f t="shared" si="0"/>
        <v>178</v>
      </c>
      <c r="N7" s="346">
        <f t="shared" si="0"/>
        <v>108</v>
      </c>
      <c r="O7" s="216">
        <f t="shared" si="0"/>
        <v>103</v>
      </c>
      <c r="P7" s="216">
        <f t="shared" si="0"/>
        <v>74</v>
      </c>
      <c r="Q7" s="25">
        <f>SUM(D7:P7)</f>
        <v>2199</v>
      </c>
      <c r="R7" s="25">
        <v>2113</v>
      </c>
      <c r="S7" s="26">
        <v>2051</v>
      </c>
    </row>
    <row r="8" spans="1:19" ht="20.100000000000001" customHeight="1">
      <c r="A8" s="217" t="s">
        <v>19</v>
      </c>
      <c r="B8" s="207" t="s">
        <v>20</v>
      </c>
      <c r="C8" s="218"/>
      <c r="D8" s="209">
        <v>170</v>
      </c>
      <c r="E8" s="209">
        <v>191</v>
      </c>
      <c r="F8" s="209">
        <v>195</v>
      </c>
      <c r="G8" s="209">
        <v>140</v>
      </c>
      <c r="H8" s="209">
        <v>145</v>
      </c>
      <c r="I8" s="209">
        <v>89</v>
      </c>
      <c r="J8" s="209">
        <v>123</v>
      </c>
      <c r="K8" s="345">
        <v>114</v>
      </c>
      <c r="L8" s="345">
        <v>58</v>
      </c>
      <c r="M8" s="209">
        <v>153</v>
      </c>
      <c r="N8" s="345">
        <v>27</v>
      </c>
      <c r="O8" s="209">
        <v>81</v>
      </c>
      <c r="P8" s="209">
        <v>74</v>
      </c>
      <c r="Q8" s="30">
        <f>SUM(D8:P8)</f>
        <v>1560</v>
      </c>
      <c r="R8" s="30">
        <v>1503</v>
      </c>
      <c r="S8" s="171">
        <v>1409</v>
      </c>
    </row>
    <row r="9" spans="1:19" ht="20.100000000000001" customHeight="1">
      <c r="A9" s="210"/>
      <c r="B9" s="211" t="s">
        <v>21</v>
      </c>
      <c r="C9" s="212"/>
      <c r="D9" s="209">
        <f>D6</f>
        <v>25</v>
      </c>
      <c r="E9" s="209">
        <f t="shared" ref="E9:P9" si="1">E6</f>
        <v>91</v>
      </c>
      <c r="F9" s="209">
        <f t="shared" si="1"/>
        <v>20</v>
      </c>
      <c r="G9" s="209">
        <f t="shared" si="1"/>
        <v>103</v>
      </c>
      <c r="H9" s="209">
        <f t="shared" si="1"/>
        <v>18</v>
      </c>
      <c r="I9" s="209">
        <f t="shared" si="1"/>
        <v>15</v>
      </c>
      <c r="J9" s="209">
        <f t="shared" si="1"/>
        <v>35</v>
      </c>
      <c r="K9" s="209">
        <f t="shared" si="1"/>
        <v>106</v>
      </c>
      <c r="L9" s="345">
        <f t="shared" si="1"/>
        <v>58</v>
      </c>
      <c r="M9" s="209">
        <f t="shared" si="1"/>
        <v>25</v>
      </c>
      <c r="N9" s="209">
        <f t="shared" si="1"/>
        <v>81</v>
      </c>
      <c r="O9" s="209">
        <f t="shared" si="1"/>
        <v>15</v>
      </c>
      <c r="P9" s="209">
        <f t="shared" si="1"/>
        <v>0</v>
      </c>
      <c r="Q9" s="13">
        <f>SUM(D9:P9)</f>
        <v>592</v>
      </c>
      <c r="R9" s="13">
        <v>592</v>
      </c>
      <c r="S9" s="58">
        <v>653</v>
      </c>
    </row>
    <row r="10" spans="1:19" s="33" customFormat="1" ht="20.100000000000001" customHeight="1">
      <c r="A10" s="213"/>
      <c r="B10" s="214" t="s">
        <v>22</v>
      </c>
      <c r="C10" s="215"/>
      <c r="D10" s="219">
        <f>SUM(D8:D9)</f>
        <v>195</v>
      </c>
      <c r="E10" s="219">
        <f t="shared" ref="E10:P10" si="2">SUM(E8:E9)</f>
        <v>282</v>
      </c>
      <c r="F10" s="219">
        <f t="shared" si="2"/>
        <v>215</v>
      </c>
      <c r="G10" s="219">
        <f t="shared" si="2"/>
        <v>243</v>
      </c>
      <c r="H10" s="219">
        <f t="shared" si="2"/>
        <v>163</v>
      </c>
      <c r="I10" s="219">
        <f t="shared" si="2"/>
        <v>104</v>
      </c>
      <c r="J10" s="219">
        <f t="shared" si="2"/>
        <v>158</v>
      </c>
      <c r="K10" s="347">
        <f t="shared" si="2"/>
        <v>220</v>
      </c>
      <c r="L10" s="347">
        <f t="shared" si="2"/>
        <v>116</v>
      </c>
      <c r="M10" s="219">
        <f t="shared" si="2"/>
        <v>178</v>
      </c>
      <c r="N10" s="347">
        <f t="shared" si="2"/>
        <v>108</v>
      </c>
      <c r="O10" s="219">
        <f t="shared" si="2"/>
        <v>96</v>
      </c>
      <c r="P10" s="219">
        <f t="shared" si="2"/>
        <v>74</v>
      </c>
      <c r="Q10" s="32">
        <f>SUM(Q8:Q9)</f>
        <v>2152</v>
      </c>
      <c r="R10" s="32">
        <v>2095</v>
      </c>
      <c r="S10" s="48">
        <v>2062</v>
      </c>
    </row>
    <row r="11" spans="1:19" s="15" customFormat="1" ht="30" customHeight="1">
      <c r="A11" s="206" t="s">
        <v>23</v>
      </c>
      <c r="B11" s="207" t="s">
        <v>24</v>
      </c>
      <c r="C11" s="220"/>
      <c r="D11" s="209">
        <v>107</v>
      </c>
      <c r="E11" s="209">
        <v>122</v>
      </c>
      <c r="F11" s="209">
        <v>117</v>
      </c>
      <c r="G11" s="209">
        <v>104</v>
      </c>
      <c r="H11" s="209">
        <v>99</v>
      </c>
      <c r="I11" s="209">
        <v>54</v>
      </c>
      <c r="J11" s="209">
        <v>85</v>
      </c>
      <c r="K11" s="345">
        <v>63</v>
      </c>
      <c r="L11" s="345">
        <v>42</v>
      </c>
      <c r="M11" s="209">
        <v>90</v>
      </c>
      <c r="N11" s="345">
        <v>11</v>
      </c>
      <c r="O11" s="209">
        <v>52</v>
      </c>
      <c r="P11" s="209">
        <v>41</v>
      </c>
      <c r="Q11" s="36">
        <f>SUM(D11:P11)</f>
        <v>987</v>
      </c>
      <c r="R11" s="36">
        <v>967</v>
      </c>
      <c r="S11" s="49">
        <v>952</v>
      </c>
    </row>
    <row r="12" spans="1:19" s="21" customFormat="1" ht="20.100000000000001" customHeight="1">
      <c r="A12" s="210"/>
      <c r="B12" s="211" t="s">
        <v>25</v>
      </c>
      <c r="C12" s="212"/>
      <c r="D12" s="209">
        <v>13</v>
      </c>
      <c r="E12" s="209">
        <v>26</v>
      </c>
      <c r="F12" s="209">
        <v>13</v>
      </c>
      <c r="G12" s="209">
        <v>6</v>
      </c>
      <c r="H12" s="209">
        <v>8</v>
      </c>
      <c r="I12" s="209">
        <v>9</v>
      </c>
      <c r="J12" s="209">
        <v>7</v>
      </c>
      <c r="K12" s="345">
        <v>35</v>
      </c>
      <c r="L12" s="345">
        <v>14</v>
      </c>
      <c r="M12" s="209">
        <v>26</v>
      </c>
      <c r="N12" s="345">
        <v>4</v>
      </c>
      <c r="O12" s="209">
        <v>14</v>
      </c>
      <c r="P12" s="209">
        <v>4</v>
      </c>
      <c r="Q12" s="37">
        <f>SUM(D12:P12)</f>
        <v>179</v>
      </c>
      <c r="R12" s="37">
        <v>101</v>
      </c>
      <c r="S12" s="38">
        <v>21</v>
      </c>
    </row>
    <row r="13" spans="1:19" s="21" customFormat="1" ht="20.100000000000001" customHeight="1">
      <c r="A13" s="210"/>
      <c r="B13" s="221" t="s">
        <v>26</v>
      </c>
      <c r="C13" s="212"/>
      <c r="D13" s="222">
        <f>D11+D12</f>
        <v>120</v>
      </c>
      <c r="E13" s="222">
        <f t="shared" ref="E13:Q13" si="3">E11+E12</f>
        <v>148</v>
      </c>
      <c r="F13" s="222">
        <f t="shared" si="3"/>
        <v>130</v>
      </c>
      <c r="G13" s="222">
        <f t="shared" si="3"/>
        <v>110</v>
      </c>
      <c r="H13" s="222">
        <f t="shared" si="3"/>
        <v>107</v>
      </c>
      <c r="I13" s="222">
        <f t="shared" si="3"/>
        <v>63</v>
      </c>
      <c r="J13" s="222">
        <f t="shared" si="3"/>
        <v>92</v>
      </c>
      <c r="K13" s="348">
        <f t="shared" si="3"/>
        <v>98</v>
      </c>
      <c r="L13" s="348">
        <f t="shared" si="3"/>
        <v>56</v>
      </c>
      <c r="M13" s="222">
        <f t="shared" si="3"/>
        <v>116</v>
      </c>
      <c r="N13" s="348">
        <f t="shared" si="3"/>
        <v>15</v>
      </c>
      <c r="O13" s="222">
        <f t="shared" si="3"/>
        <v>66</v>
      </c>
      <c r="P13" s="222">
        <f t="shared" si="3"/>
        <v>45</v>
      </c>
      <c r="Q13" s="37">
        <f t="shared" si="3"/>
        <v>1166</v>
      </c>
      <c r="R13" s="37">
        <v>1068</v>
      </c>
      <c r="S13" s="38">
        <v>973</v>
      </c>
    </row>
    <row r="14" spans="1:19" s="21" customFormat="1" ht="20.100000000000001" customHeight="1">
      <c r="A14" s="223"/>
      <c r="B14" s="224" t="s">
        <v>27</v>
      </c>
      <c r="C14" s="225"/>
      <c r="D14" s="226">
        <f t="shared" ref="D14:Q14" si="4">D12/D8*100</f>
        <v>7.6470588235294121</v>
      </c>
      <c r="E14" s="226">
        <f t="shared" si="4"/>
        <v>13.612565445026178</v>
      </c>
      <c r="F14" s="226">
        <f t="shared" si="4"/>
        <v>6.666666666666667</v>
      </c>
      <c r="G14" s="226">
        <f t="shared" si="4"/>
        <v>4.2857142857142856</v>
      </c>
      <c r="H14" s="226">
        <f t="shared" si="4"/>
        <v>5.5172413793103452</v>
      </c>
      <c r="I14" s="226">
        <f t="shared" si="4"/>
        <v>10.112359550561797</v>
      </c>
      <c r="J14" s="226">
        <f t="shared" si="4"/>
        <v>5.6910569105691051</v>
      </c>
      <c r="K14" s="349">
        <f t="shared" si="4"/>
        <v>30.701754385964914</v>
      </c>
      <c r="L14" s="349">
        <f t="shared" si="4"/>
        <v>24.137931034482758</v>
      </c>
      <c r="M14" s="226">
        <f t="shared" si="4"/>
        <v>16.993464052287582</v>
      </c>
      <c r="N14" s="349">
        <f t="shared" si="4"/>
        <v>14.814814814814813</v>
      </c>
      <c r="O14" s="226">
        <f t="shared" si="4"/>
        <v>17.283950617283949</v>
      </c>
      <c r="P14" s="226">
        <f t="shared" si="4"/>
        <v>5.4054054054054053</v>
      </c>
      <c r="Q14" s="42">
        <f t="shared" si="4"/>
        <v>11.474358974358974</v>
      </c>
      <c r="R14" s="42">
        <v>6.7198935462408516</v>
      </c>
      <c r="S14" s="43">
        <v>1.4904187366926898</v>
      </c>
    </row>
    <row r="15" spans="1:19" s="21" customFormat="1" ht="20.100000000000001" customHeight="1">
      <c r="A15" s="217" t="s">
        <v>28</v>
      </c>
      <c r="B15" s="221" t="s">
        <v>29</v>
      </c>
      <c r="C15" s="218"/>
      <c r="D15" s="209">
        <f>D11</f>
        <v>107</v>
      </c>
      <c r="E15" s="209">
        <f t="shared" ref="E15:P15" si="5">E11</f>
        <v>122</v>
      </c>
      <c r="F15" s="209">
        <f t="shared" si="5"/>
        <v>117</v>
      </c>
      <c r="G15" s="209">
        <f t="shared" si="5"/>
        <v>104</v>
      </c>
      <c r="H15" s="209">
        <f t="shared" si="5"/>
        <v>99</v>
      </c>
      <c r="I15" s="209">
        <f t="shared" si="5"/>
        <v>54</v>
      </c>
      <c r="J15" s="209">
        <f t="shared" si="5"/>
        <v>85</v>
      </c>
      <c r="K15" s="345">
        <f t="shared" si="5"/>
        <v>63</v>
      </c>
      <c r="L15" s="356">
        <f t="shared" si="5"/>
        <v>42</v>
      </c>
      <c r="M15" s="209">
        <f t="shared" si="5"/>
        <v>90</v>
      </c>
      <c r="N15" s="345">
        <f t="shared" si="5"/>
        <v>11</v>
      </c>
      <c r="O15" s="209">
        <f t="shared" si="5"/>
        <v>52</v>
      </c>
      <c r="P15" s="209">
        <f t="shared" si="5"/>
        <v>41</v>
      </c>
      <c r="Q15" s="45">
        <f>SUM(D15:P15)</f>
        <v>987</v>
      </c>
      <c r="R15" s="45">
        <v>967</v>
      </c>
      <c r="S15" s="46">
        <v>952</v>
      </c>
    </row>
    <row r="16" spans="1:19" s="21" customFormat="1" ht="20.100000000000001" customHeight="1">
      <c r="A16" s="210"/>
      <c r="B16" s="211" t="s">
        <v>21</v>
      </c>
      <c r="C16" s="212"/>
      <c r="D16" s="381">
        <v>15.112903225806452</v>
      </c>
      <c r="E16" s="381">
        <v>56</v>
      </c>
      <c r="F16" s="381">
        <v>13.403225806451612</v>
      </c>
      <c r="G16" s="381">
        <v>74.967741935483872</v>
      </c>
      <c r="H16" s="381">
        <v>13.338709677419354</v>
      </c>
      <c r="I16" s="381">
        <v>12</v>
      </c>
      <c r="J16" s="381">
        <v>24.887096774193548</v>
      </c>
      <c r="K16" s="381">
        <v>84.822580645161295</v>
      </c>
      <c r="L16" s="383">
        <v>51.887096774193552</v>
      </c>
      <c r="M16" s="381">
        <v>13.887096774193548</v>
      </c>
      <c r="N16" s="381">
        <v>66.887096774193552</v>
      </c>
      <c r="O16" s="381">
        <v>7.9516129032258061</v>
      </c>
      <c r="P16" s="272">
        <v>0</v>
      </c>
      <c r="Q16" s="37">
        <f>SUM(D16:P16)</f>
        <v>435.14516129032256</v>
      </c>
      <c r="R16" s="37">
        <v>439</v>
      </c>
      <c r="S16" s="38">
        <v>429</v>
      </c>
    </row>
    <row r="17" spans="1:19" s="27" customFormat="1" ht="20.100000000000001" customHeight="1">
      <c r="A17" s="213"/>
      <c r="B17" s="229" t="s">
        <v>30</v>
      </c>
      <c r="C17" s="215"/>
      <c r="D17" s="219">
        <f t="shared" ref="D17:Q17" si="6">SUM(D15:D16)</f>
        <v>122.11290322580645</v>
      </c>
      <c r="E17" s="219">
        <f t="shared" si="6"/>
        <v>178</v>
      </c>
      <c r="F17" s="219">
        <f t="shared" si="6"/>
        <v>130.40322580645162</v>
      </c>
      <c r="G17" s="219">
        <f t="shared" si="6"/>
        <v>178.96774193548387</v>
      </c>
      <c r="H17" s="219">
        <f t="shared" si="6"/>
        <v>112.33870967741936</v>
      </c>
      <c r="I17" s="219">
        <f t="shared" si="6"/>
        <v>66</v>
      </c>
      <c r="J17" s="219">
        <f t="shared" si="6"/>
        <v>109.88709677419355</v>
      </c>
      <c r="K17" s="219">
        <f t="shared" si="6"/>
        <v>147.82258064516128</v>
      </c>
      <c r="L17" s="347">
        <f t="shared" si="6"/>
        <v>93.887096774193552</v>
      </c>
      <c r="M17" s="219">
        <f t="shared" si="6"/>
        <v>103.88709677419355</v>
      </c>
      <c r="N17" s="347">
        <f t="shared" si="6"/>
        <v>77.887096774193552</v>
      </c>
      <c r="O17" s="219">
        <f t="shared" si="6"/>
        <v>59.951612903225808</v>
      </c>
      <c r="P17" s="219">
        <f t="shared" si="6"/>
        <v>41</v>
      </c>
      <c r="Q17" s="32">
        <f t="shared" si="6"/>
        <v>1422.1451612903224</v>
      </c>
      <c r="R17" s="32">
        <v>1406</v>
      </c>
      <c r="S17" s="48">
        <v>1381</v>
      </c>
    </row>
    <row r="18" spans="1:19" s="15" customFormat="1" ht="30" customHeight="1">
      <c r="A18" s="206">
        <v>3</v>
      </c>
      <c r="B18" s="207" t="s">
        <v>31</v>
      </c>
      <c r="C18" s="220"/>
      <c r="D18" s="230">
        <f>D8-D11</f>
        <v>63</v>
      </c>
      <c r="E18" s="230">
        <f t="shared" ref="E18:Q18" si="7">E8-E11</f>
        <v>69</v>
      </c>
      <c r="F18" s="230">
        <f t="shared" si="7"/>
        <v>78</v>
      </c>
      <c r="G18" s="230">
        <f t="shared" si="7"/>
        <v>36</v>
      </c>
      <c r="H18" s="230">
        <f t="shared" si="7"/>
        <v>46</v>
      </c>
      <c r="I18" s="230">
        <f t="shared" si="7"/>
        <v>35</v>
      </c>
      <c r="J18" s="230">
        <f t="shared" si="7"/>
        <v>38</v>
      </c>
      <c r="K18" s="230">
        <f t="shared" si="7"/>
        <v>51</v>
      </c>
      <c r="L18" s="350">
        <f t="shared" si="7"/>
        <v>16</v>
      </c>
      <c r="M18" s="230">
        <f t="shared" si="7"/>
        <v>63</v>
      </c>
      <c r="N18" s="350">
        <f t="shared" si="7"/>
        <v>16</v>
      </c>
      <c r="O18" s="230">
        <f t="shared" si="7"/>
        <v>29</v>
      </c>
      <c r="P18" s="230">
        <f t="shared" si="7"/>
        <v>33</v>
      </c>
      <c r="Q18" s="19">
        <f t="shared" si="7"/>
        <v>573</v>
      </c>
      <c r="R18" s="19">
        <v>536</v>
      </c>
      <c r="S18" s="96">
        <v>457</v>
      </c>
    </row>
    <row r="19" spans="1:19" s="21" customFormat="1" ht="20.100000000000001" customHeight="1">
      <c r="A19" s="210"/>
      <c r="B19" s="211" t="s">
        <v>21</v>
      </c>
      <c r="C19" s="212"/>
      <c r="D19" s="288">
        <f t="shared" ref="D19:Q19" si="8">D6-D16</f>
        <v>9.887096774193548</v>
      </c>
      <c r="E19" s="288">
        <f t="shared" si="8"/>
        <v>35</v>
      </c>
      <c r="F19" s="288">
        <f t="shared" si="8"/>
        <v>6.5967741935483879</v>
      </c>
      <c r="G19" s="288">
        <f t="shared" si="8"/>
        <v>28.032258064516128</v>
      </c>
      <c r="H19" s="288">
        <f t="shared" si="8"/>
        <v>4.6612903225806459</v>
      </c>
      <c r="I19" s="288">
        <f t="shared" si="8"/>
        <v>3</v>
      </c>
      <c r="J19" s="288">
        <f t="shared" si="8"/>
        <v>10.112903225806452</v>
      </c>
      <c r="K19" s="288">
        <f t="shared" si="8"/>
        <v>21.177419354838705</v>
      </c>
      <c r="L19" s="384">
        <f t="shared" si="8"/>
        <v>6.1129032258064484</v>
      </c>
      <c r="M19" s="288">
        <f t="shared" si="8"/>
        <v>11.112903225806452</v>
      </c>
      <c r="N19" s="288">
        <f t="shared" si="8"/>
        <v>14.112903225806448</v>
      </c>
      <c r="O19" s="288">
        <f t="shared" si="8"/>
        <v>7.0483870967741939</v>
      </c>
      <c r="P19" s="288">
        <f t="shared" si="8"/>
        <v>0</v>
      </c>
      <c r="Q19" s="128">
        <f t="shared" si="8"/>
        <v>156.85483870967744</v>
      </c>
      <c r="R19" s="19">
        <v>153</v>
      </c>
      <c r="S19" s="96">
        <v>224</v>
      </c>
    </row>
    <row r="20" spans="1:19" s="21" customFormat="1" ht="20.100000000000001" customHeight="1">
      <c r="A20" s="210"/>
      <c r="B20" s="231" t="s">
        <v>32</v>
      </c>
      <c r="C20" s="212"/>
      <c r="D20" s="222">
        <f t="shared" ref="D20:P20" si="9">SUM(D18:D19)</f>
        <v>72.887096774193552</v>
      </c>
      <c r="E20" s="222">
        <f t="shared" si="9"/>
        <v>104</v>
      </c>
      <c r="F20" s="222">
        <f t="shared" si="9"/>
        <v>84.596774193548384</v>
      </c>
      <c r="G20" s="222">
        <f t="shared" si="9"/>
        <v>64.032258064516128</v>
      </c>
      <c r="H20" s="222">
        <f t="shared" si="9"/>
        <v>50.661290322580648</v>
      </c>
      <c r="I20" s="222">
        <f>SUM(I18:I19)</f>
        <v>38</v>
      </c>
      <c r="J20" s="222">
        <f>SUM(J18:J19)</f>
        <v>48.112903225806448</v>
      </c>
      <c r="K20" s="348">
        <f t="shared" si="9"/>
        <v>72.177419354838705</v>
      </c>
      <c r="L20" s="348">
        <f t="shared" si="9"/>
        <v>22.112903225806448</v>
      </c>
      <c r="M20" s="222">
        <f>SUM(M18:M19)</f>
        <v>74.112903225806448</v>
      </c>
      <c r="N20" s="348">
        <f t="shared" si="9"/>
        <v>30.112903225806448</v>
      </c>
      <c r="O20" s="222">
        <f t="shared" si="9"/>
        <v>36.048387096774192</v>
      </c>
      <c r="P20" s="222">
        <f t="shared" si="9"/>
        <v>33</v>
      </c>
      <c r="Q20" s="37">
        <f>SUM(D20:P20)</f>
        <v>729.85483870967744</v>
      </c>
      <c r="R20" s="37">
        <v>689</v>
      </c>
      <c r="S20" s="38">
        <v>681</v>
      </c>
    </row>
    <row r="21" spans="1:19" s="21" customFormat="1" ht="30.75" customHeight="1">
      <c r="A21" s="210"/>
      <c r="B21" s="211" t="s">
        <v>33</v>
      </c>
      <c r="C21" s="212"/>
      <c r="D21" s="209">
        <v>50</v>
      </c>
      <c r="E21" s="209">
        <v>42</v>
      </c>
      <c r="F21" s="209">
        <v>65</v>
      </c>
      <c r="G21" s="209">
        <v>30</v>
      </c>
      <c r="H21" s="209">
        <v>37</v>
      </c>
      <c r="I21" s="209">
        <v>25</v>
      </c>
      <c r="J21" s="209">
        <v>31</v>
      </c>
      <c r="K21" s="345">
        <v>15</v>
      </c>
      <c r="L21" s="345">
        <v>3</v>
      </c>
      <c r="M21" s="209">
        <v>37</v>
      </c>
      <c r="N21" s="345">
        <v>13</v>
      </c>
      <c r="O21" s="209">
        <v>16</v>
      </c>
      <c r="P21" s="209">
        <v>29</v>
      </c>
      <c r="Q21" s="37">
        <f>SUM(D21:P21)</f>
        <v>393</v>
      </c>
      <c r="R21" s="37">
        <v>438</v>
      </c>
      <c r="S21" s="38">
        <v>436</v>
      </c>
    </row>
    <row r="22" spans="1:19" s="15" customFormat="1" ht="21" customHeight="1">
      <c r="A22" s="232"/>
      <c r="B22" s="233" t="s">
        <v>34</v>
      </c>
      <c r="C22" s="234"/>
      <c r="D22" s="226">
        <f t="shared" ref="D22:Q22" si="10">SUM(D21/D8*100)</f>
        <v>29.411764705882355</v>
      </c>
      <c r="E22" s="226">
        <f t="shared" si="10"/>
        <v>21.98952879581152</v>
      </c>
      <c r="F22" s="226">
        <f t="shared" si="10"/>
        <v>33.333333333333329</v>
      </c>
      <c r="G22" s="226">
        <f t="shared" si="10"/>
        <v>21.428571428571427</v>
      </c>
      <c r="H22" s="226">
        <f t="shared" si="10"/>
        <v>25.517241379310345</v>
      </c>
      <c r="I22" s="226">
        <f t="shared" si="10"/>
        <v>28.08988764044944</v>
      </c>
      <c r="J22" s="226">
        <f t="shared" si="10"/>
        <v>25.203252032520325</v>
      </c>
      <c r="K22" s="349">
        <f t="shared" si="10"/>
        <v>13.157894736842104</v>
      </c>
      <c r="L22" s="349">
        <f t="shared" si="10"/>
        <v>5.1724137931034484</v>
      </c>
      <c r="M22" s="226">
        <f t="shared" si="10"/>
        <v>24.183006535947712</v>
      </c>
      <c r="N22" s="349">
        <f t="shared" si="10"/>
        <v>48.148148148148145</v>
      </c>
      <c r="O22" s="226">
        <f t="shared" si="10"/>
        <v>19.753086419753085</v>
      </c>
      <c r="P22" s="226">
        <f t="shared" si="10"/>
        <v>39.189189189189186</v>
      </c>
      <c r="Q22" s="42">
        <f t="shared" si="10"/>
        <v>25.192307692307693</v>
      </c>
      <c r="R22" s="42">
        <v>29.141716566866265</v>
      </c>
      <c r="S22" s="43">
        <v>30.94393186657204</v>
      </c>
    </row>
    <row r="23" spans="1:19" s="57" customFormat="1" ht="30" customHeight="1">
      <c r="A23" s="235">
        <v>4</v>
      </c>
      <c r="B23" s="236" t="s">
        <v>35</v>
      </c>
      <c r="C23" s="237"/>
      <c r="D23" s="209">
        <v>161</v>
      </c>
      <c r="E23" s="209">
        <v>209</v>
      </c>
      <c r="F23" s="209">
        <v>164</v>
      </c>
      <c r="G23" s="209">
        <v>212</v>
      </c>
      <c r="H23" s="209">
        <v>128</v>
      </c>
      <c r="I23" s="209">
        <v>83</v>
      </c>
      <c r="J23" s="209">
        <v>126</v>
      </c>
      <c r="K23" s="345">
        <v>189</v>
      </c>
      <c r="L23" s="345">
        <v>99</v>
      </c>
      <c r="M23" s="209">
        <v>123</v>
      </c>
      <c r="N23" s="345">
        <v>84</v>
      </c>
      <c r="O23" s="209">
        <v>70</v>
      </c>
      <c r="P23" s="209">
        <v>42</v>
      </c>
      <c r="Q23" s="44">
        <f>SUM(D23:P23)</f>
        <v>1690</v>
      </c>
      <c r="R23" s="44">
        <v>1686</v>
      </c>
      <c r="S23" s="14">
        <v>1689</v>
      </c>
    </row>
    <row r="24" spans="1:19" s="15" customFormat="1" ht="44.25" customHeight="1">
      <c r="A24" s="206">
        <v>5</v>
      </c>
      <c r="B24" s="207" t="s">
        <v>174</v>
      </c>
      <c r="C24" s="220"/>
      <c r="D24" s="209">
        <v>103</v>
      </c>
      <c r="E24" s="209">
        <v>112</v>
      </c>
      <c r="F24" s="209">
        <v>113</v>
      </c>
      <c r="G24" s="209">
        <v>98</v>
      </c>
      <c r="H24" s="209">
        <v>95</v>
      </c>
      <c r="I24" s="209">
        <v>53</v>
      </c>
      <c r="J24" s="209">
        <v>84</v>
      </c>
      <c r="K24" s="345">
        <v>62</v>
      </c>
      <c r="L24" s="345">
        <v>40</v>
      </c>
      <c r="M24" s="209">
        <v>88</v>
      </c>
      <c r="N24" s="345">
        <v>11</v>
      </c>
      <c r="O24" s="209">
        <v>51</v>
      </c>
      <c r="P24" s="209">
        <v>40</v>
      </c>
      <c r="Q24" s="45">
        <f t="shared" ref="Q24:Q29" si="11">SUM(D24:P24)</f>
        <v>950</v>
      </c>
      <c r="R24" s="45">
        <v>954</v>
      </c>
      <c r="S24" s="46">
        <v>941</v>
      </c>
    </row>
    <row r="25" spans="1:19" s="21" customFormat="1" ht="21.75" customHeight="1">
      <c r="A25" s="210"/>
      <c r="B25" s="211" t="s">
        <v>37</v>
      </c>
      <c r="C25" s="212"/>
      <c r="D25" s="209">
        <v>15</v>
      </c>
      <c r="E25" s="209">
        <v>56</v>
      </c>
      <c r="F25" s="209">
        <v>13</v>
      </c>
      <c r="G25" s="209">
        <v>75</v>
      </c>
      <c r="H25" s="209">
        <v>13</v>
      </c>
      <c r="I25" s="209">
        <v>12</v>
      </c>
      <c r="J25" s="209">
        <v>25</v>
      </c>
      <c r="K25" s="345">
        <v>73</v>
      </c>
      <c r="L25" s="345">
        <v>52</v>
      </c>
      <c r="M25" s="209">
        <v>14</v>
      </c>
      <c r="N25" s="345">
        <v>26</v>
      </c>
      <c r="O25" s="209">
        <v>8</v>
      </c>
      <c r="P25" s="209">
        <v>0</v>
      </c>
      <c r="Q25" s="37">
        <f t="shared" si="11"/>
        <v>382</v>
      </c>
      <c r="R25" s="37">
        <v>439</v>
      </c>
      <c r="S25" s="38">
        <v>429</v>
      </c>
    </row>
    <row r="26" spans="1:19" s="21" customFormat="1" ht="27" customHeight="1">
      <c r="A26" s="223"/>
      <c r="B26" s="224" t="s">
        <v>38</v>
      </c>
      <c r="C26" s="225"/>
      <c r="D26" s="238">
        <f t="shared" ref="D26:P26" si="12">SUM(D24:D25)</f>
        <v>118</v>
      </c>
      <c r="E26" s="238">
        <f t="shared" si="12"/>
        <v>168</v>
      </c>
      <c r="F26" s="238">
        <f t="shared" si="12"/>
        <v>126</v>
      </c>
      <c r="G26" s="238">
        <f t="shared" si="12"/>
        <v>173</v>
      </c>
      <c r="H26" s="238">
        <f t="shared" si="12"/>
        <v>108</v>
      </c>
      <c r="I26" s="238">
        <f>SUM(I24:I25)</f>
        <v>65</v>
      </c>
      <c r="J26" s="238">
        <f>SUM(J24:J25)</f>
        <v>109</v>
      </c>
      <c r="K26" s="351">
        <f t="shared" si="12"/>
        <v>135</v>
      </c>
      <c r="L26" s="351">
        <f t="shared" si="12"/>
        <v>92</v>
      </c>
      <c r="M26" s="238">
        <f>SUM(M24:M25)</f>
        <v>102</v>
      </c>
      <c r="N26" s="351">
        <f t="shared" si="12"/>
        <v>37</v>
      </c>
      <c r="O26" s="238">
        <f t="shared" si="12"/>
        <v>59</v>
      </c>
      <c r="P26" s="238">
        <f t="shared" si="12"/>
        <v>40</v>
      </c>
      <c r="Q26" s="59">
        <f t="shared" si="11"/>
        <v>1332</v>
      </c>
      <c r="R26" s="76">
        <v>1393</v>
      </c>
      <c r="S26" s="60">
        <v>1370</v>
      </c>
    </row>
    <row r="27" spans="1:19" s="27" customFormat="1" ht="25.5" customHeight="1" thickBot="1">
      <c r="A27" s="239">
        <v>6</v>
      </c>
      <c r="B27" s="240" t="s">
        <v>39</v>
      </c>
      <c r="C27" s="241"/>
      <c r="D27" s="378">
        <v>1031983.8</v>
      </c>
      <c r="E27" s="378">
        <v>1477004.3</v>
      </c>
      <c r="F27" s="378">
        <v>969804</v>
      </c>
      <c r="G27" s="378">
        <v>1301203.3</v>
      </c>
      <c r="H27" s="378">
        <v>944635.1</v>
      </c>
      <c r="I27" s="378">
        <v>494778.60000000003</v>
      </c>
      <c r="J27" s="378">
        <v>771149.79999999993</v>
      </c>
      <c r="K27" s="379">
        <v>1493440.5</v>
      </c>
      <c r="L27" s="379">
        <v>834036.4</v>
      </c>
      <c r="M27" s="378">
        <v>951853.45000000007</v>
      </c>
      <c r="N27" s="379">
        <v>597394.79999999993</v>
      </c>
      <c r="O27" s="378">
        <v>520682.2</v>
      </c>
      <c r="P27" s="378">
        <v>279623.10000000003</v>
      </c>
      <c r="Q27" s="196">
        <f>SUM(D27:P27)</f>
        <v>11667589.349999998</v>
      </c>
      <c r="R27" s="382">
        <v>11273939</v>
      </c>
      <c r="S27" s="197">
        <v>12004573.299999999</v>
      </c>
    </row>
    <row r="28" spans="1:19" s="21" customFormat="1" ht="18.95" customHeight="1" thickTop="1">
      <c r="A28" s="217">
        <v>7</v>
      </c>
      <c r="B28" s="207" t="s">
        <v>40</v>
      </c>
      <c r="C28" s="218"/>
      <c r="D28" s="209">
        <v>355453</v>
      </c>
      <c r="E28" s="209">
        <v>64512</v>
      </c>
      <c r="F28" s="209">
        <v>352727</v>
      </c>
      <c r="G28" s="209">
        <f>306291+11308</f>
        <v>317599</v>
      </c>
      <c r="H28" s="209">
        <v>399567</v>
      </c>
      <c r="I28" s="209">
        <v>290890</v>
      </c>
      <c r="J28" s="209">
        <v>427739</v>
      </c>
      <c r="K28" s="345">
        <v>241181</v>
      </c>
      <c r="L28" s="345">
        <v>72397</v>
      </c>
      <c r="M28" s="209">
        <v>102886</v>
      </c>
      <c r="N28" s="345">
        <v>0</v>
      </c>
      <c r="O28" s="209">
        <v>37085</v>
      </c>
      <c r="P28" s="209">
        <v>83058</v>
      </c>
      <c r="Q28" s="44">
        <f t="shared" si="11"/>
        <v>2745094</v>
      </c>
      <c r="R28" s="44">
        <v>3113358</v>
      </c>
      <c r="S28" s="14">
        <v>3892213</v>
      </c>
    </row>
    <row r="29" spans="1:19" s="21" customFormat="1" ht="18.95" customHeight="1">
      <c r="A29" s="210"/>
      <c r="B29" s="211" t="s">
        <v>41</v>
      </c>
      <c r="C29" s="212"/>
      <c r="D29" s="209">
        <v>259138</v>
      </c>
      <c r="E29" s="209">
        <v>710906</v>
      </c>
      <c r="F29" s="209">
        <v>282764</v>
      </c>
      <c r="G29" s="209">
        <v>242920</v>
      </c>
      <c r="H29" s="209">
        <v>267600</v>
      </c>
      <c r="I29" s="209">
        <v>32216</v>
      </c>
      <c r="J29" s="209">
        <v>44976</v>
      </c>
      <c r="K29" s="345">
        <v>203772</v>
      </c>
      <c r="L29" s="345">
        <v>238973</v>
      </c>
      <c r="M29" s="209">
        <v>542308</v>
      </c>
      <c r="N29" s="345">
        <v>60331</v>
      </c>
      <c r="O29" s="209">
        <v>298849</v>
      </c>
      <c r="P29" s="209">
        <v>133671</v>
      </c>
      <c r="Q29" s="44">
        <f t="shared" si="11"/>
        <v>3318424</v>
      </c>
      <c r="R29" s="44">
        <v>2795102</v>
      </c>
      <c r="S29" s="14">
        <v>2100845</v>
      </c>
    </row>
    <row r="30" spans="1:19" s="21" customFormat="1" ht="18.95" customHeight="1">
      <c r="A30" s="210"/>
      <c r="B30" s="211" t="s">
        <v>42</v>
      </c>
      <c r="C30" s="212"/>
      <c r="D30" s="209">
        <f t="shared" ref="D30:Q30" si="13">SUM(D28:D29)</f>
        <v>614591</v>
      </c>
      <c r="E30" s="209">
        <f t="shared" si="13"/>
        <v>775418</v>
      </c>
      <c r="F30" s="209">
        <f t="shared" si="13"/>
        <v>635491</v>
      </c>
      <c r="G30" s="209">
        <f t="shared" si="13"/>
        <v>560519</v>
      </c>
      <c r="H30" s="209">
        <f t="shared" si="13"/>
        <v>667167</v>
      </c>
      <c r="I30" s="209">
        <f t="shared" si="13"/>
        <v>323106</v>
      </c>
      <c r="J30" s="209">
        <f t="shared" si="13"/>
        <v>472715</v>
      </c>
      <c r="K30" s="345">
        <f t="shared" si="13"/>
        <v>444953</v>
      </c>
      <c r="L30" s="345">
        <f t="shared" si="13"/>
        <v>311370</v>
      </c>
      <c r="M30" s="209">
        <f t="shared" si="13"/>
        <v>645194</v>
      </c>
      <c r="N30" s="345">
        <f t="shared" si="13"/>
        <v>60331</v>
      </c>
      <c r="O30" s="209">
        <f t="shared" si="13"/>
        <v>335934</v>
      </c>
      <c r="P30" s="209">
        <f t="shared" si="13"/>
        <v>216729</v>
      </c>
      <c r="Q30" s="63">
        <f t="shared" si="13"/>
        <v>6063518</v>
      </c>
      <c r="R30" s="63">
        <v>5908460</v>
      </c>
      <c r="S30" s="20">
        <v>5993058</v>
      </c>
    </row>
    <row r="31" spans="1:19" s="21" customFormat="1" ht="18.95" customHeight="1">
      <c r="A31" s="243"/>
      <c r="B31" s="211" t="s">
        <v>43</v>
      </c>
      <c r="C31" s="212"/>
      <c r="D31" s="209">
        <f>15538+82821</f>
        <v>98359</v>
      </c>
      <c r="E31" s="209">
        <v>366068</v>
      </c>
      <c r="F31" s="209">
        <v>70797</v>
      </c>
      <c r="G31" s="209">
        <f>296930+162122</f>
        <v>459052</v>
      </c>
      <c r="H31" s="209">
        <v>64783</v>
      </c>
      <c r="I31" s="209">
        <f>57757+4414</f>
        <v>62171</v>
      </c>
      <c r="J31" s="209">
        <v>147842</v>
      </c>
      <c r="K31" s="345">
        <f>221487+209460</f>
        <v>430947</v>
      </c>
      <c r="L31" s="345">
        <f>296666+126388</f>
        <v>423054</v>
      </c>
      <c r="M31" s="209">
        <f>72506+22652</f>
        <v>95158</v>
      </c>
      <c r="N31" s="345">
        <f>65361</f>
        <v>65361</v>
      </c>
      <c r="O31" s="209">
        <f>31862+9219</f>
        <v>41081</v>
      </c>
      <c r="P31" s="209">
        <v>0</v>
      </c>
      <c r="Q31" s="45">
        <f>SUM(D31:P31)</f>
        <v>2324673</v>
      </c>
      <c r="R31" s="45">
        <v>2544919</v>
      </c>
      <c r="S31" s="46">
        <v>2830632</v>
      </c>
    </row>
    <row r="32" spans="1:19" s="21" customFormat="1" ht="18.95" customHeight="1">
      <c r="A32" s="243"/>
      <c r="B32" s="211" t="s">
        <v>153</v>
      </c>
      <c r="C32" s="212"/>
      <c r="D32" s="209">
        <v>0</v>
      </c>
      <c r="E32" s="209">
        <v>0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345">
        <f>67601+112428</f>
        <v>180029</v>
      </c>
      <c r="L32" s="345">
        <v>0</v>
      </c>
      <c r="M32" s="209">
        <v>0</v>
      </c>
      <c r="N32" s="345">
        <f>215995+132766</f>
        <v>348761</v>
      </c>
      <c r="O32" s="209">
        <v>0</v>
      </c>
      <c r="P32" s="209">
        <v>0</v>
      </c>
      <c r="Q32" s="45">
        <f>SUM(D32:P32)</f>
        <v>528790</v>
      </c>
      <c r="R32" s="45">
        <v>227080</v>
      </c>
      <c r="S32" s="315">
        <v>0</v>
      </c>
    </row>
    <row r="33" spans="1:19" s="21" customFormat="1" ht="18.95" customHeight="1">
      <c r="A33" s="243"/>
      <c r="B33" s="211" t="s">
        <v>150</v>
      </c>
      <c r="C33" s="212"/>
      <c r="D33" s="209">
        <f>SUM(D31:D32)</f>
        <v>98359</v>
      </c>
      <c r="E33" s="209">
        <f t="shared" ref="E33:Q33" si="14">SUM(E31:E32)</f>
        <v>366068</v>
      </c>
      <c r="F33" s="209">
        <f t="shared" si="14"/>
        <v>70797</v>
      </c>
      <c r="G33" s="209">
        <f t="shared" si="14"/>
        <v>459052</v>
      </c>
      <c r="H33" s="209">
        <f t="shared" si="14"/>
        <v>64783</v>
      </c>
      <c r="I33" s="209">
        <f t="shared" si="14"/>
        <v>62171</v>
      </c>
      <c r="J33" s="209">
        <f t="shared" si="14"/>
        <v>147842</v>
      </c>
      <c r="K33" s="345">
        <f t="shared" si="14"/>
        <v>610976</v>
      </c>
      <c r="L33" s="345">
        <f t="shared" si="14"/>
        <v>423054</v>
      </c>
      <c r="M33" s="209">
        <f t="shared" si="14"/>
        <v>95158</v>
      </c>
      <c r="N33" s="345">
        <f t="shared" si="14"/>
        <v>414122</v>
      </c>
      <c r="O33" s="209">
        <f t="shared" si="14"/>
        <v>41081</v>
      </c>
      <c r="P33" s="209">
        <f t="shared" ref="P33" si="15">SUM(P31:P32)</f>
        <v>0</v>
      </c>
      <c r="Q33" s="13">
        <f t="shared" si="14"/>
        <v>2853463</v>
      </c>
      <c r="R33" s="13">
        <v>2771999</v>
      </c>
      <c r="S33" s="315">
        <v>2830632</v>
      </c>
    </row>
    <row r="34" spans="1:19" s="27" customFormat="1" ht="25.5">
      <c r="A34" s="244"/>
      <c r="B34" s="245" t="s">
        <v>175</v>
      </c>
      <c r="C34" s="246"/>
      <c r="D34" s="247">
        <f>D30+D33</f>
        <v>712950</v>
      </c>
      <c r="E34" s="247">
        <f t="shared" ref="E34:Q34" si="16">E30+E33</f>
        <v>1141486</v>
      </c>
      <c r="F34" s="247">
        <f t="shared" si="16"/>
        <v>706288</v>
      </c>
      <c r="G34" s="247">
        <f t="shared" si="16"/>
        <v>1019571</v>
      </c>
      <c r="H34" s="247">
        <f t="shared" si="16"/>
        <v>731950</v>
      </c>
      <c r="I34" s="247">
        <f t="shared" si="16"/>
        <v>385277</v>
      </c>
      <c r="J34" s="247">
        <f t="shared" si="16"/>
        <v>620557</v>
      </c>
      <c r="K34" s="353">
        <f t="shared" si="16"/>
        <v>1055929</v>
      </c>
      <c r="L34" s="353">
        <f t="shared" si="16"/>
        <v>734424</v>
      </c>
      <c r="M34" s="247">
        <f t="shared" si="16"/>
        <v>740352</v>
      </c>
      <c r="N34" s="353">
        <f t="shared" si="16"/>
        <v>474453</v>
      </c>
      <c r="O34" s="247">
        <f t="shared" si="16"/>
        <v>377015</v>
      </c>
      <c r="P34" s="247">
        <f t="shared" si="16"/>
        <v>216729</v>
      </c>
      <c r="Q34" s="68">
        <f t="shared" si="16"/>
        <v>8916981</v>
      </c>
      <c r="R34" s="68">
        <v>8680459</v>
      </c>
      <c r="S34" s="69">
        <v>8823690</v>
      </c>
    </row>
    <row r="35" spans="1:19" s="21" customFormat="1">
      <c r="A35" s="217"/>
      <c r="B35" s="207" t="s">
        <v>44</v>
      </c>
      <c r="C35" s="218"/>
      <c r="D35" s="248">
        <f>D34/C5</f>
        <v>22998.387096774193</v>
      </c>
      <c r="E35" s="248">
        <f>E34/C5</f>
        <v>36822.129032258068</v>
      </c>
      <c r="F35" s="248">
        <f>F34/C5</f>
        <v>22783.483870967742</v>
      </c>
      <c r="G35" s="248">
        <f>G34/C5</f>
        <v>32889.387096774197</v>
      </c>
      <c r="H35" s="248">
        <f>H34/C5</f>
        <v>23611.290322580644</v>
      </c>
      <c r="I35" s="248">
        <f>I34/C5</f>
        <v>12428.290322580646</v>
      </c>
      <c r="J35" s="248">
        <f>J34/C5</f>
        <v>20017.967741935485</v>
      </c>
      <c r="K35" s="354">
        <f>K34/C5</f>
        <v>34062.225806451614</v>
      </c>
      <c r="L35" s="354">
        <f>L34/C5</f>
        <v>23691.096774193549</v>
      </c>
      <c r="M35" s="248">
        <f>M34/C5</f>
        <v>23882.322580645163</v>
      </c>
      <c r="N35" s="354">
        <f>N34/C5</f>
        <v>15304.935483870968</v>
      </c>
      <c r="O35" s="248">
        <f>O34/C5</f>
        <v>12161.774193548386</v>
      </c>
      <c r="P35" s="248">
        <f>P34/C5</f>
        <v>6991.2580645161288</v>
      </c>
      <c r="Q35" s="45">
        <f>Q34/C5</f>
        <v>287644.54838709679</v>
      </c>
      <c r="R35" s="45">
        <v>289348.63333333336</v>
      </c>
      <c r="S35" s="46">
        <v>284635.16129032261</v>
      </c>
    </row>
    <row r="36" spans="1:19" s="21" customFormat="1">
      <c r="A36" s="223"/>
      <c r="B36" s="224" t="s">
        <v>45</v>
      </c>
      <c r="C36" s="225"/>
      <c r="D36" s="249">
        <f t="shared" ref="D36:Q36" si="17">SUM((D35)/D17)</f>
        <v>188.33707568352926</v>
      </c>
      <c r="E36" s="249">
        <f t="shared" si="17"/>
        <v>206.86589343965207</v>
      </c>
      <c r="F36" s="249">
        <f t="shared" si="17"/>
        <v>174.7156462585034</v>
      </c>
      <c r="G36" s="249">
        <f t="shared" si="17"/>
        <v>183.77271088680607</v>
      </c>
      <c r="H36" s="249">
        <f t="shared" si="17"/>
        <v>210.17946877243358</v>
      </c>
      <c r="I36" s="249">
        <f t="shared" si="17"/>
        <v>188.30742913000978</v>
      </c>
      <c r="J36" s="249">
        <f t="shared" si="17"/>
        <v>182.16850139439308</v>
      </c>
      <c r="K36" s="355">
        <f t="shared" si="17"/>
        <v>230.42640480087292</v>
      </c>
      <c r="L36" s="355">
        <f t="shared" si="17"/>
        <v>252.33602473801753</v>
      </c>
      <c r="M36" s="249">
        <f t="shared" si="17"/>
        <v>229.88728458313926</v>
      </c>
      <c r="N36" s="355">
        <f t="shared" si="17"/>
        <v>196.50155311658727</v>
      </c>
      <c r="O36" s="249">
        <f t="shared" si="17"/>
        <v>202.85983319881623</v>
      </c>
      <c r="P36" s="249">
        <f t="shared" si="17"/>
        <v>170.51848937844215</v>
      </c>
      <c r="Q36" s="107">
        <f t="shared" si="17"/>
        <v>202.26103228879592</v>
      </c>
      <c r="R36" s="107">
        <v>205.79561403508774</v>
      </c>
      <c r="S36" s="108">
        <v>206.10800962369487</v>
      </c>
    </row>
    <row r="37" spans="1:19" s="21" customFormat="1" ht="18" customHeight="1">
      <c r="A37" s="217">
        <v>8</v>
      </c>
      <c r="B37" s="207" t="s">
        <v>46</v>
      </c>
      <c r="C37" s="218"/>
      <c r="D37" s="228"/>
      <c r="E37" s="228"/>
      <c r="F37" s="228"/>
      <c r="G37" s="228"/>
      <c r="H37" s="228"/>
      <c r="I37" s="228"/>
      <c r="J37" s="228"/>
      <c r="K37" s="356"/>
      <c r="L37" s="356"/>
      <c r="M37" s="228"/>
      <c r="N37" s="356"/>
      <c r="O37" s="228"/>
      <c r="P37" s="228"/>
      <c r="Q37" s="44"/>
      <c r="R37" s="44"/>
      <c r="S37" s="46"/>
    </row>
    <row r="38" spans="1:19" s="21" customFormat="1" ht="18" customHeight="1">
      <c r="A38" s="243"/>
      <c r="B38" s="211" t="s">
        <v>47</v>
      </c>
      <c r="C38" s="212"/>
      <c r="D38" s="209">
        <v>4854</v>
      </c>
      <c r="E38" s="209">
        <v>1884</v>
      </c>
      <c r="F38" s="209">
        <v>12402</v>
      </c>
      <c r="G38" s="209">
        <f>13428+150</f>
        <v>13578</v>
      </c>
      <c r="H38" s="209">
        <v>4122</v>
      </c>
      <c r="I38" s="209">
        <v>5721</v>
      </c>
      <c r="J38" s="209">
        <v>4940</v>
      </c>
      <c r="K38" s="345">
        <v>4014</v>
      </c>
      <c r="L38" s="345">
        <v>902</v>
      </c>
      <c r="M38" s="209">
        <v>2413</v>
      </c>
      <c r="N38" s="345">
        <v>0</v>
      </c>
      <c r="O38" s="209">
        <v>807</v>
      </c>
      <c r="P38" s="209">
        <v>1779</v>
      </c>
      <c r="Q38" s="37">
        <f>SUM(D38:P38)</f>
        <v>57416</v>
      </c>
      <c r="R38" s="37">
        <v>61337</v>
      </c>
      <c r="S38" s="38">
        <v>70739</v>
      </c>
    </row>
    <row r="39" spans="1:19" s="21" customFormat="1" ht="18" customHeight="1">
      <c r="A39" s="243"/>
      <c r="B39" s="211" t="s">
        <v>48</v>
      </c>
      <c r="C39" s="212"/>
      <c r="D39" s="209">
        <v>2824</v>
      </c>
      <c r="E39" s="209">
        <v>18392</v>
      </c>
      <c r="F39" s="209">
        <v>14337</v>
      </c>
      <c r="G39" s="209">
        <v>3736</v>
      </c>
      <c r="H39" s="209">
        <v>2770</v>
      </c>
      <c r="I39" s="209">
        <v>274</v>
      </c>
      <c r="J39" s="209">
        <v>1929</v>
      </c>
      <c r="K39" s="345">
        <v>3578</v>
      </c>
      <c r="L39" s="345">
        <v>9006</v>
      </c>
      <c r="M39" s="209">
        <v>3137</v>
      </c>
      <c r="N39" s="345">
        <v>1329</v>
      </c>
      <c r="O39" s="209">
        <v>4926</v>
      </c>
      <c r="P39" s="209">
        <v>6716</v>
      </c>
      <c r="Q39" s="37">
        <f>SUM(D39:P39)</f>
        <v>72954</v>
      </c>
      <c r="R39" s="37">
        <v>66139</v>
      </c>
      <c r="S39" s="38">
        <v>51534</v>
      </c>
    </row>
    <row r="40" spans="1:19" s="21" customFormat="1" ht="18" customHeight="1">
      <c r="A40" s="243"/>
      <c r="B40" s="211" t="s">
        <v>49</v>
      </c>
      <c r="C40" s="246"/>
      <c r="D40" s="250">
        <f t="shared" ref="D40:P40" si="18">SUM(D38:D39)</f>
        <v>7678</v>
      </c>
      <c r="E40" s="250">
        <f t="shared" si="18"/>
        <v>20276</v>
      </c>
      <c r="F40" s="250">
        <f t="shared" si="18"/>
        <v>26739</v>
      </c>
      <c r="G40" s="250">
        <f t="shared" si="18"/>
        <v>17314</v>
      </c>
      <c r="H40" s="250">
        <f t="shared" si="18"/>
        <v>6892</v>
      </c>
      <c r="I40" s="250">
        <f>SUM(I38:I39)</f>
        <v>5995</v>
      </c>
      <c r="J40" s="250">
        <f>SUM(J38:J39)</f>
        <v>6869</v>
      </c>
      <c r="K40" s="357">
        <f t="shared" si="18"/>
        <v>7592</v>
      </c>
      <c r="L40" s="357">
        <f t="shared" si="18"/>
        <v>9908</v>
      </c>
      <c r="M40" s="250">
        <f>SUM(M38:M39)</f>
        <v>5550</v>
      </c>
      <c r="N40" s="357">
        <f t="shared" si="18"/>
        <v>1329</v>
      </c>
      <c r="O40" s="250">
        <f t="shared" si="18"/>
        <v>5733</v>
      </c>
      <c r="P40" s="250">
        <f t="shared" si="18"/>
        <v>8495</v>
      </c>
      <c r="Q40" s="68">
        <f>SUM(D40:P40)</f>
        <v>130370</v>
      </c>
      <c r="R40" s="68">
        <v>127476</v>
      </c>
      <c r="S40" s="69">
        <v>122273</v>
      </c>
    </row>
    <row r="41" spans="1:19" s="21" customFormat="1" ht="18" customHeight="1">
      <c r="A41" s="210"/>
      <c r="B41" s="211" t="s">
        <v>50</v>
      </c>
      <c r="C41" s="212"/>
      <c r="D41" s="251">
        <f t="shared" ref="D41:P41" si="19">ROUND((D38)/$C5,0)</f>
        <v>157</v>
      </c>
      <c r="E41" s="251">
        <f t="shared" si="19"/>
        <v>61</v>
      </c>
      <c r="F41" s="251">
        <f t="shared" si="19"/>
        <v>400</v>
      </c>
      <c r="G41" s="251">
        <f t="shared" si="19"/>
        <v>438</v>
      </c>
      <c r="H41" s="251">
        <f t="shared" si="19"/>
        <v>133</v>
      </c>
      <c r="I41" s="251">
        <f t="shared" si="19"/>
        <v>185</v>
      </c>
      <c r="J41" s="251">
        <f t="shared" si="19"/>
        <v>159</v>
      </c>
      <c r="K41" s="358">
        <f t="shared" si="19"/>
        <v>129</v>
      </c>
      <c r="L41" s="358">
        <f t="shared" si="19"/>
        <v>29</v>
      </c>
      <c r="M41" s="251">
        <f t="shared" si="19"/>
        <v>78</v>
      </c>
      <c r="N41" s="358">
        <f t="shared" si="19"/>
        <v>0</v>
      </c>
      <c r="O41" s="251">
        <f t="shared" si="19"/>
        <v>26</v>
      </c>
      <c r="P41" s="251">
        <f t="shared" si="19"/>
        <v>57</v>
      </c>
      <c r="Q41" s="37">
        <f>Q38/C5</f>
        <v>1852.1290322580646</v>
      </c>
      <c r="R41" s="37">
        <v>2044.5666666666666</v>
      </c>
      <c r="S41" s="38">
        <v>2281.9032258064517</v>
      </c>
    </row>
    <row r="42" spans="1:19" s="21" customFormat="1" ht="18" customHeight="1">
      <c r="A42" s="210"/>
      <c r="B42" s="211" t="s">
        <v>51</v>
      </c>
      <c r="C42" s="212"/>
      <c r="D42" s="222">
        <f>SUM(D39/C5)</f>
        <v>91.096774193548384</v>
      </c>
      <c r="E42" s="222">
        <f>SUM(E39/C5)</f>
        <v>593.29032258064512</v>
      </c>
      <c r="F42" s="222">
        <f>SUM(F39/C5)</f>
        <v>462.48387096774195</v>
      </c>
      <c r="G42" s="222">
        <f>SUM(G39/C5)</f>
        <v>120.51612903225806</v>
      </c>
      <c r="H42" s="222">
        <f>SUM(H39/C5)</f>
        <v>89.354838709677423</v>
      </c>
      <c r="I42" s="222">
        <f>SUM(I39/C5)</f>
        <v>8.8387096774193541</v>
      </c>
      <c r="J42" s="222">
        <f>SUM(J39/C5)</f>
        <v>62.225806451612904</v>
      </c>
      <c r="K42" s="348">
        <f>SUM(K39/C5)</f>
        <v>115.41935483870968</v>
      </c>
      <c r="L42" s="348">
        <f>SUM(L39/C5)</f>
        <v>290.51612903225805</v>
      </c>
      <c r="M42" s="222">
        <f>SUM(M39/C5)</f>
        <v>101.19354838709677</v>
      </c>
      <c r="N42" s="348">
        <f>SUM(N39/C5)</f>
        <v>42.87096774193548</v>
      </c>
      <c r="O42" s="222">
        <f>SUM(O39/C5)</f>
        <v>158.90322580645162</v>
      </c>
      <c r="P42" s="222">
        <f>SUM(P39/C5)</f>
        <v>216.64516129032259</v>
      </c>
      <c r="Q42" s="37">
        <f>Q39/C5</f>
        <v>2353.3548387096776</v>
      </c>
      <c r="R42" s="37">
        <v>2204.6333333333332</v>
      </c>
      <c r="S42" s="38">
        <v>1662.3870967741937</v>
      </c>
    </row>
    <row r="43" spans="1:19" s="21" customFormat="1" ht="30.75" customHeight="1">
      <c r="A43" s="210"/>
      <c r="B43" s="211" t="s">
        <v>52</v>
      </c>
      <c r="C43" s="212"/>
      <c r="D43" s="222">
        <f t="shared" ref="D43:P43" si="20">SUM(D41:D42)</f>
        <v>248.09677419354838</v>
      </c>
      <c r="E43" s="222">
        <f t="shared" si="20"/>
        <v>654.29032258064512</v>
      </c>
      <c r="F43" s="222">
        <f t="shared" si="20"/>
        <v>862.48387096774195</v>
      </c>
      <c r="G43" s="222">
        <f t="shared" si="20"/>
        <v>558.51612903225805</v>
      </c>
      <c r="H43" s="222">
        <f t="shared" si="20"/>
        <v>222.35483870967744</v>
      </c>
      <c r="I43" s="222">
        <f>SUM(I41:I42)</f>
        <v>193.83870967741936</v>
      </c>
      <c r="J43" s="222">
        <f>SUM(J41:J42)</f>
        <v>221.2258064516129</v>
      </c>
      <c r="K43" s="348">
        <f t="shared" si="20"/>
        <v>244.41935483870969</v>
      </c>
      <c r="L43" s="348">
        <f t="shared" si="20"/>
        <v>319.51612903225805</v>
      </c>
      <c r="M43" s="222">
        <f>SUM(M41:M42)</f>
        <v>179.19354838709677</v>
      </c>
      <c r="N43" s="348">
        <f t="shared" si="20"/>
        <v>42.87096774193548</v>
      </c>
      <c r="O43" s="222">
        <f t="shared" si="20"/>
        <v>184.90322580645162</v>
      </c>
      <c r="P43" s="222">
        <f t="shared" si="20"/>
        <v>273.64516129032256</v>
      </c>
      <c r="Q43" s="37">
        <f>Q40/C5</f>
        <v>4205.4838709677415</v>
      </c>
      <c r="R43" s="37">
        <v>4249.2</v>
      </c>
      <c r="S43" s="38">
        <v>3944.2903225806454</v>
      </c>
    </row>
    <row r="44" spans="1:19" s="21" customFormat="1" ht="21" customHeight="1">
      <c r="A44" s="210"/>
      <c r="B44" s="211" t="s">
        <v>53</v>
      </c>
      <c r="C44" s="212"/>
      <c r="D44" s="209">
        <v>13737</v>
      </c>
      <c r="E44" s="209">
        <v>17236</v>
      </c>
      <c r="F44" s="209">
        <v>15381</v>
      </c>
      <c r="G44" s="209">
        <v>13423</v>
      </c>
      <c r="H44" s="209">
        <v>5766</v>
      </c>
      <c r="I44" s="209">
        <v>6696</v>
      </c>
      <c r="J44" s="209">
        <v>2255</v>
      </c>
      <c r="K44" s="345">
        <v>4774</v>
      </c>
      <c r="L44" s="345">
        <v>3566</v>
      </c>
      <c r="M44" s="209">
        <v>8145</v>
      </c>
      <c r="N44" s="345">
        <v>930</v>
      </c>
      <c r="O44" s="209">
        <v>1860</v>
      </c>
      <c r="P44" s="209">
        <v>2538</v>
      </c>
      <c r="Q44" s="76">
        <f>SUM(D44:P44)</f>
        <v>96307</v>
      </c>
      <c r="R44" s="76">
        <v>95501</v>
      </c>
      <c r="S44" s="117">
        <v>98865</v>
      </c>
    </row>
    <row r="45" spans="1:19" s="21" customFormat="1" ht="21" customHeight="1">
      <c r="A45" s="252"/>
      <c r="B45" s="253" t="s">
        <v>54</v>
      </c>
      <c r="C45" s="254"/>
      <c r="D45" s="255">
        <f t="shared" ref="D45:P45" si="21">ROUND((D44)/$C5,0)</f>
        <v>443</v>
      </c>
      <c r="E45" s="255">
        <f t="shared" si="21"/>
        <v>556</v>
      </c>
      <c r="F45" s="255">
        <f t="shared" si="21"/>
        <v>496</v>
      </c>
      <c r="G45" s="255">
        <f t="shared" si="21"/>
        <v>433</v>
      </c>
      <c r="H45" s="255">
        <f t="shared" si="21"/>
        <v>186</v>
      </c>
      <c r="I45" s="255">
        <f t="shared" si="21"/>
        <v>216</v>
      </c>
      <c r="J45" s="255">
        <f t="shared" si="21"/>
        <v>73</v>
      </c>
      <c r="K45" s="359">
        <f t="shared" si="21"/>
        <v>154</v>
      </c>
      <c r="L45" s="359">
        <f t="shared" si="21"/>
        <v>115</v>
      </c>
      <c r="M45" s="255">
        <f t="shared" si="21"/>
        <v>263</v>
      </c>
      <c r="N45" s="359">
        <f t="shared" si="21"/>
        <v>30</v>
      </c>
      <c r="O45" s="255">
        <f t="shared" si="21"/>
        <v>60</v>
      </c>
      <c r="P45" s="255">
        <f t="shared" si="21"/>
        <v>82</v>
      </c>
      <c r="Q45" s="59">
        <f>Q44/C5</f>
        <v>3106.6774193548385</v>
      </c>
      <c r="R45" s="59">
        <v>3183.3666666666668</v>
      </c>
      <c r="S45" s="60">
        <v>3189.1935483870966</v>
      </c>
    </row>
    <row r="46" spans="1:19" ht="18" customHeight="1">
      <c r="A46" s="256">
        <v>9</v>
      </c>
      <c r="B46" s="257" t="s">
        <v>173</v>
      </c>
      <c r="C46" s="258"/>
      <c r="D46" s="209">
        <v>374044</v>
      </c>
      <c r="E46" s="209">
        <v>66396</v>
      </c>
      <c r="F46" s="209">
        <v>380128</v>
      </c>
      <c r="G46" s="209">
        <f>333142+11458</f>
        <v>344600</v>
      </c>
      <c r="H46" s="209">
        <v>409455</v>
      </c>
      <c r="I46" s="209">
        <v>303307</v>
      </c>
      <c r="J46" s="209">
        <v>434934</v>
      </c>
      <c r="K46" s="345">
        <v>249907</v>
      </c>
      <c r="L46" s="345">
        <v>75015</v>
      </c>
      <c r="M46" s="209">
        <v>105299</v>
      </c>
      <c r="N46" s="345">
        <v>0</v>
      </c>
      <c r="O46" s="209">
        <v>38822</v>
      </c>
      <c r="P46" s="209">
        <v>86135</v>
      </c>
      <c r="Q46" s="45">
        <f>SUM(D46:P46)</f>
        <v>2868042</v>
      </c>
      <c r="R46" s="45">
        <v>3241491</v>
      </c>
      <c r="S46" s="46">
        <v>4030849</v>
      </c>
    </row>
    <row r="47" spans="1:19" ht="19.5" customHeight="1">
      <c r="A47" s="210"/>
      <c r="B47" s="207" t="s">
        <v>56</v>
      </c>
      <c r="C47" s="212"/>
      <c r="D47" s="209">
        <v>261962</v>
      </c>
      <c r="E47" s="209">
        <v>746534</v>
      </c>
      <c r="F47" s="209">
        <v>297483</v>
      </c>
      <c r="G47" s="209">
        <v>246656</v>
      </c>
      <c r="H47" s="209">
        <v>270370</v>
      </c>
      <c r="I47" s="209">
        <v>32490</v>
      </c>
      <c r="J47" s="209">
        <v>46905</v>
      </c>
      <c r="K47" s="345">
        <v>207412</v>
      </c>
      <c r="L47" s="345">
        <v>249829</v>
      </c>
      <c r="M47" s="209">
        <v>553590</v>
      </c>
      <c r="N47" s="345">
        <v>62590</v>
      </c>
      <c r="O47" s="209">
        <v>304705</v>
      </c>
      <c r="P47" s="209">
        <v>141627</v>
      </c>
      <c r="Q47" s="37">
        <f>SUM(D47:P47)</f>
        <v>3422153</v>
      </c>
      <c r="R47" s="37">
        <v>2889946</v>
      </c>
      <c r="S47" s="38">
        <v>2183347</v>
      </c>
    </row>
    <row r="48" spans="1:19" s="57" customFormat="1" ht="33.75" customHeight="1">
      <c r="A48" s="235"/>
      <c r="B48" s="236" t="s">
        <v>187</v>
      </c>
      <c r="C48" s="237"/>
      <c r="D48" s="259">
        <f t="shared" ref="D48:P48" si="22">SUM(D46:D47)</f>
        <v>636006</v>
      </c>
      <c r="E48" s="259">
        <f t="shared" si="22"/>
        <v>812930</v>
      </c>
      <c r="F48" s="259">
        <f t="shared" si="22"/>
        <v>677611</v>
      </c>
      <c r="G48" s="259">
        <f t="shared" si="22"/>
        <v>591256</v>
      </c>
      <c r="H48" s="259">
        <f t="shared" si="22"/>
        <v>679825</v>
      </c>
      <c r="I48" s="259">
        <f>SUM(I46:I47)</f>
        <v>335797</v>
      </c>
      <c r="J48" s="259">
        <f>SUM(J46:J47)</f>
        <v>481839</v>
      </c>
      <c r="K48" s="360">
        <f t="shared" si="22"/>
        <v>457319</v>
      </c>
      <c r="L48" s="360">
        <f t="shared" si="22"/>
        <v>324844</v>
      </c>
      <c r="M48" s="259">
        <f>SUM(M46:M47)</f>
        <v>658889</v>
      </c>
      <c r="N48" s="360">
        <f t="shared" si="22"/>
        <v>62590</v>
      </c>
      <c r="O48" s="259">
        <f t="shared" si="22"/>
        <v>343527</v>
      </c>
      <c r="P48" s="259">
        <f t="shared" si="22"/>
        <v>227762</v>
      </c>
      <c r="Q48" s="85">
        <f>SUM(D48:P48)</f>
        <v>6290195</v>
      </c>
      <c r="R48" s="85">
        <v>6131437</v>
      </c>
      <c r="S48" s="172">
        <v>6214196</v>
      </c>
    </row>
    <row r="49" spans="1:19" ht="25.5">
      <c r="A49" s="217"/>
      <c r="B49" s="207" t="s">
        <v>58</v>
      </c>
      <c r="C49" s="218"/>
      <c r="D49" s="248">
        <f>SUM(D46/C5)</f>
        <v>12065.935483870968</v>
      </c>
      <c r="E49" s="248">
        <f>SUM(E46/C5)</f>
        <v>2141.8064516129034</v>
      </c>
      <c r="F49" s="248">
        <f>SUM(F46/C5)</f>
        <v>12262.193548387097</v>
      </c>
      <c r="G49" s="248">
        <f>SUM(G46/C5)</f>
        <v>11116.129032258064</v>
      </c>
      <c r="H49" s="248">
        <f>SUM(H46/C5)</f>
        <v>13208.225806451614</v>
      </c>
      <c r="I49" s="248">
        <f>SUM(I46/C5)</f>
        <v>9784.0967741935492</v>
      </c>
      <c r="J49" s="248">
        <f>SUM(J46/C5)</f>
        <v>14030.129032258064</v>
      </c>
      <c r="K49" s="354">
        <f>SUM(K46/C5)</f>
        <v>8061.5161290322585</v>
      </c>
      <c r="L49" s="354">
        <f>SUM(L46/C5)</f>
        <v>2419.8387096774195</v>
      </c>
      <c r="M49" s="248">
        <f>SUM(M46/C5)</f>
        <v>3396.7419354838707</v>
      </c>
      <c r="N49" s="354">
        <f>SUM(N46/C5)</f>
        <v>0</v>
      </c>
      <c r="O49" s="248">
        <f>SUM(O46/C5)</f>
        <v>1252.3225806451612</v>
      </c>
      <c r="P49" s="248">
        <f>SUM(P46/C5)</f>
        <v>2778.5483870967741</v>
      </c>
      <c r="Q49" s="45">
        <f>Q46/C5</f>
        <v>92517.483870967742</v>
      </c>
      <c r="R49" s="45">
        <v>108049.7</v>
      </c>
      <c r="S49" s="46">
        <v>130027.3870967742</v>
      </c>
    </row>
    <row r="50" spans="1:19" ht="18" customHeight="1">
      <c r="A50" s="210"/>
      <c r="B50" s="207" t="s">
        <v>59</v>
      </c>
      <c r="C50" s="212"/>
      <c r="D50" s="222">
        <f>SUM(D47/C5)</f>
        <v>8450.3870967741932</v>
      </c>
      <c r="E50" s="222">
        <f>SUM(E47/C5)</f>
        <v>24081.741935483871</v>
      </c>
      <c r="F50" s="222">
        <f>SUM(F47/C5)</f>
        <v>9596.2258064516136</v>
      </c>
      <c r="G50" s="222">
        <f>SUM(G47/C5)</f>
        <v>7956.6451612903229</v>
      </c>
      <c r="H50" s="222">
        <f>SUM(H47/C5)</f>
        <v>8721.6129032258068</v>
      </c>
      <c r="I50" s="222">
        <f>SUM(I47/C5)</f>
        <v>1048.0645161290322</v>
      </c>
      <c r="J50" s="222">
        <f>SUM(J47/C5)</f>
        <v>1513.0645161290322</v>
      </c>
      <c r="K50" s="348">
        <f>SUM(K47/C5)</f>
        <v>6690.7096774193551</v>
      </c>
      <c r="L50" s="348">
        <f>SUM(L47/C5)</f>
        <v>8059</v>
      </c>
      <c r="M50" s="222">
        <f>SUM(M47/C5)</f>
        <v>17857.741935483871</v>
      </c>
      <c r="N50" s="348">
        <f>SUM(N47/C5)</f>
        <v>2019.0322580645161</v>
      </c>
      <c r="O50" s="222">
        <f>SUM(O47/C5)</f>
        <v>9829.1935483870966</v>
      </c>
      <c r="P50" s="222">
        <f>SUM(P47/C5)</f>
        <v>4568.6129032258068</v>
      </c>
      <c r="Q50" s="37">
        <f>Q47/C5</f>
        <v>110392.03225806452</v>
      </c>
      <c r="R50" s="37">
        <v>96331.53333333334</v>
      </c>
      <c r="S50" s="38">
        <v>70430.548387096773</v>
      </c>
    </row>
    <row r="51" spans="1:19" ht="18" customHeight="1">
      <c r="A51" s="223"/>
      <c r="B51" s="224" t="s">
        <v>60</v>
      </c>
      <c r="C51" s="225"/>
      <c r="D51" s="238">
        <f t="shared" ref="D51:P51" si="23">SUM(D49:D50)</f>
        <v>20516.322580645159</v>
      </c>
      <c r="E51" s="238">
        <f t="shared" si="23"/>
        <v>26223.548387096773</v>
      </c>
      <c r="F51" s="238">
        <f t="shared" si="23"/>
        <v>21858.419354838712</v>
      </c>
      <c r="G51" s="238">
        <f t="shared" si="23"/>
        <v>19072.774193548386</v>
      </c>
      <c r="H51" s="238">
        <f t="shared" si="23"/>
        <v>21929.83870967742</v>
      </c>
      <c r="I51" s="238">
        <f>SUM(I49:I50)</f>
        <v>10832.161290322581</v>
      </c>
      <c r="J51" s="238">
        <f>SUM(J49:J50)</f>
        <v>15543.193548387097</v>
      </c>
      <c r="K51" s="351">
        <f t="shared" si="23"/>
        <v>14752.225806451614</v>
      </c>
      <c r="L51" s="351">
        <f t="shared" si="23"/>
        <v>10478.83870967742</v>
      </c>
      <c r="M51" s="238">
        <f>SUM(M49:M50)</f>
        <v>21254.483870967742</v>
      </c>
      <c r="N51" s="351">
        <f t="shared" si="23"/>
        <v>2019.0322580645161</v>
      </c>
      <c r="O51" s="238">
        <f t="shared" si="23"/>
        <v>11081.516129032258</v>
      </c>
      <c r="P51" s="238">
        <f t="shared" si="23"/>
        <v>7347.1612903225814</v>
      </c>
      <c r="Q51" s="59">
        <f>Q48/C5</f>
        <v>202909.51612903227</v>
      </c>
      <c r="R51" s="59">
        <v>204381.23333333334</v>
      </c>
      <c r="S51" s="60">
        <v>200457.93548387097</v>
      </c>
    </row>
    <row r="52" spans="1:19" s="33" customFormat="1" ht="18" customHeight="1">
      <c r="A52" s="244">
        <v>10</v>
      </c>
      <c r="B52" s="245" t="s">
        <v>61</v>
      </c>
      <c r="C52" s="260"/>
      <c r="D52" s="248">
        <f t="shared" ref="D52:Q52" si="24">D27-D34</f>
        <v>319033.80000000005</v>
      </c>
      <c r="E52" s="248">
        <f t="shared" si="24"/>
        <v>335518.30000000005</v>
      </c>
      <c r="F52" s="248">
        <f t="shared" si="24"/>
        <v>263516</v>
      </c>
      <c r="G52" s="248">
        <f t="shared" si="24"/>
        <v>281632.30000000005</v>
      </c>
      <c r="H52" s="248">
        <f t="shared" si="24"/>
        <v>212685.09999999998</v>
      </c>
      <c r="I52" s="248">
        <f t="shared" si="24"/>
        <v>109501.60000000003</v>
      </c>
      <c r="J52" s="248">
        <f t="shared" si="24"/>
        <v>150592.79999999993</v>
      </c>
      <c r="K52" s="354">
        <f t="shared" si="24"/>
        <v>437511.5</v>
      </c>
      <c r="L52" s="354">
        <f t="shared" si="24"/>
        <v>99612.400000000023</v>
      </c>
      <c r="M52" s="248">
        <f t="shared" si="24"/>
        <v>211501.45000000007</v>
      </c>
      <c r="N52" s="354">
        <f t="shared" si="24"/>
        <v>122941.79999999993</v>
      </c>
      <c r="O52" s="248">
        <f t="shared" si="24"/>
        <v>143667.20000000001</v>
      </c>
      <c r="P52" s="248">
        <f t="shared" si="24"/>
        <v>62894.100000000035</v>
      </c>
      <c r="Q52" s="45">
        <f t="shared" si="24"/>
        <v>2750608.3499999978</v>
      </c>
      <c r="R52" s="45">
        <v>2593480</v>
      </c>
      <c r="S52" s="46">
        <v>3180883.2999999989</v>
      </c>
    </row>
    <row r="53" spans="1:19" ht="18" customHeight="1">
      <c r="A53" s="223"/>
      <c r="B53" s="224" t="s">
        <v>62</v>
      </c>
      <c r="C53" s="225"/>
      <c r="D53" s="238">
        <f>SUM(D52/C5)</f>
        <v>10291.412903225808</v>
      </c>
      <c r="E53" s="238">
        <f>SUM(E52/C5)</f>
        <v>10823.170967741937</v>
      </c>
      <c r="F53" s="238">
        <f>SUM(F52/C5)</f>
        <v>8500.5161290322576</v>
      </c>
      <c r="G53" s="238">
        <f>SUM(G52/C5)</f>
        <v>9084.9129032258079</v>
      </c>
      <c r="H53" s="238">
        <f>SUM(H52/C5)</f>
        <v>6860.8096774193536</v>
      </c>
      <c r="I53" s="238">
        <f>SUM(I52/C5)</f>
        <v>3532.3096774193559</v>
      </c>
      <c r="J53" s="238">
        <f>SUM(J52/C5)</f>
        <v>4857.8322580645136</v>
      </c>
      <c r="K53" s="351">
        <f>SUM(K52/C5)</f>
        <v>14113.274193548386</v>
      </c>
      <c r="L53" s="351">
        <f>SUM(L52/C5)</f>
        <v>3213.3032258064522</v>
      </c>
      <c r="M53" s="238">
        <f>SUM(M52/C5)</f>
        <v>6822.6274193548406</v>
      </c>
      <c r="N53" s="351">
        <f>SUM(N52/C5)</f>
        <v>3965.8645161290301</v>
      </c>
      <c r="O53" s="238">
        <f>SUM(O52/C5)</f>
        <v>4634.4258064516134</v>
      </c>
      <c r="P53" s="238">
        <f>SUM(P52/C5)</f>
        <v>2028.841935483872</v>
      </c>
      <c r="Q53" s="59">
        <f>SUM(Q52/C5)</f>
        <v>88729.30161290316</v>
      </c>
      <c r="R53" s="59">
        <v>86449.333333333328</v>
      </c>
      <c r="S53" s="60">
        <v>102609.13870967738</v>
      </c>
    </row>
    <row r="54" spans="1:19" s="15" customFormat="1" ht="28.5" customHeight="1">
      <c r="A54" s="206">
        <v>11</v>
      </c>
      <c r="B54" s="207" t="s">
        <v>63</v>
      </c>
      <c r="C54" s="220"/>
      <c r="D54" s="209">
        <v>25329277</v>
      </c>
      <c r="E54" s="209">
        <v>39812020</v>
      </c>
      <c r="F54" s="209">
        <v>29753236</v>
      </c>
      <c r="G54" s="209">
        <v>45017629</v>
      </c>
      <c r="H54" s="209">
        <v>26727100</v>
      </c>
      <c r="I54" s="209">
        <v>16573647</v>
      </c>
      <c r="J54" s="209">
        <v>25471628</v>
      </c>
      <c r="K54" s="345">
        <v>34009365</v>
      </c>
      <c r="L54" s="345">
        <v>24364435</v>
      </c>
      <c r="M54" s="209">
        <v>22411600</v>
      </c>
      <c r="N54" s="345">
        <v>21180455</v>
      </c>
      <c r="O54" s="209">
        <v>14245466</v>
      </c>
      <c r="P54" s="209">
        <v>9283580</v>
      </c>
      <c r="Q54" s="87">
        <f>SUM(D54:P54)</f>
        <v>334179438</v>
      </c>
      <c r="R54" s="87">
        <v>345180215</v>
      </c>
      <c r="S54" s="173">
        <v>335245424</v>
      </c>
    </row>
    <row r="55" spans="1:19" s="21" customFormat="1" ht="18" customHeight="1">
      <c r="A55" s="210"/>
      <c r="B55" s="211" t="s">
        <v>64</v>
      </c>
      <c r="C55" s="212"/>
      <c r="D55" s="228">
        <f t="shared" ref="D55:P55" si="25">ROUND((D54)/$C5,0)</f>
        <v>817073</v>
      </c>
      <c r="E55" s="228">
        <f t="shared" si="25"/>
        <v>1284259</v>
      </c>
      <c r="F55" s="228">
        <f t="shared" si="25"/>
        <v>959782</v>
      </c>
      <c r="G55" s="228">
        <f t="shared" si="25"/>
        <v>1452182</v>
      </c>
      <c r="H55" s="228">
        <f t="shared" si="25"/>
        <v>862165</v>
      </c>
      <c r="I55" s="228">
        <f t="shared" si="25"/>
        <v>534634</v>
      </c>
      <c r="J55" s="228">
        <f t="shared" si="25"/>
        <v>821665</v>
      </c>
      <c r="K55" s="356">
        <f t="shared" si="25"/>
        <v>1097076</v>
      </c>
      <c r="L55" s="356">
        <f t="shared" si="25"/>
        <v>785950</v>
      </c>
      <c r="M55" s="228">
        <f t="shared" si="25"/>
        <v>722955</v>
      </c>
      <c r="N55" s="356">
        <f t="shared" si="25"/>
        <v>683240</v>
      </c>
      <c r="O55" s="228">
        <f t="shared" si="25"/>
        <v>459531</v>
      </c>
      <c r="P55" s="228">
        <f t="shared" si="25"/>
        <v>299470</v>
      </c>
      <c r="Q55" s="45">
        <f>SUM(D55:P55)</f>
        <v>10779982</v>
      </c>
      <c r="R55" s="45">
        <v>11506008</v>
      </c>
      <c r="S55" s="46">
        <v>10814367</v>
      </c>
    </row>
    <row r="56" spans="1:19" s="15" customFormat="1" ht="16.5" customHeight="1">
      <c r="A56" s="261"/>
      <c r="B56" s="231" t="s">
        <v>65</v>
      </c>
      <c r="C56" s="262"/>
      <c r="D56" s="263">
        <f>SUM(D55/D65)</f>
        <v>13.583020248030056</v>
      </c>
      <c r="E56" s="263">
        <f t="shared" ref="E56:Q56" si="26">SUM(E55/E65)</f>
        <v>14.990428227710357</v>
      </c>
      <c r="F56" s="263">
        <f t="shared" si="26"/>
        <v>12.99439576747676</v>
      </c>
      <c r="G56" s="263">
        <f t="shared" si="26"/>
        <v>12.955589527467462</v>
      </c>
      <c r="H56" s="263">
        <f t="shared" si="26"/>
        <v>13.633493861715026</v>
      </c>
      <c r="I56" s="263">
        <f>SUM(I55/I65)</f>
        <v>12.383915368584965</v>
      </c>
      <c r="J56" s="263">
        <f>SUM(J55/J65)</f>
        <v>13.459981420379245</v>
      </c>
      <c r="K56" s="361">
        <f t="shared" si="26"/>
        <v>14.981507773483772</v>
      </c>
      <c r="L56" s="361">
        <f t="shared" si="26"/>
        <v>16.399119078532454</v>
      </c>
      <c r="M56" s="263">
        <f>SUM(M55/M65)</f>
        <v>14.398995804609147</v>
      </c>
      <c r="N56" s="361">
        <f t="shared" si="26"/>
        <v>13.829938386880245</v>
      </c>
      <c r="O56" s="263">
        <f t="shared" si="26"/>
        <v>13.952063065789511</v>
      </c>
      <c r="P56" s="263">
        <f t="shared" si="26"/>
        <v>13.507834586838126</v>
      </c>
      <c r="Q56" s="90">
        <f t="shared" si="26"/>
        <v>13.907769336234807</v>
      </c>
      <c r="R56" s="90">
        <v>13.957492151190614</v>
      </c>
      <c r="S56" s="91">
        <v>13.719884468999387</v>
      </c>
    </row>
    <row r="57" spans="1:19" s="21" customFormat="1" ht="25.5">
      <c r="A57" s="252"/>
      <c r="B57" s="253" t="s">
        <v>66</v>
      </c>
      <c r="C57" s="254"/>
      <c r="D57" s="320">
        <f t="shared" ref="D57:Q57" si="27">SUM(D55/D17)</f>
        <v>6691.1274600449087</v>
      </c>
      <c r="E57" s="320">
        <f t="shared" si="27"/>
        <v>7214.9382022471909</v>
      </c>
      <c r="F57" s="320">
        <f t="shared" si="27"/>
        <v>7360.1093382807667</v>
      </c>
      <c r="G57" s="320">
        <f t="shared" si="27"/>
        <v>8114.2108868060559</v>
      </c>
      <c r="H57" s="320">
        <f t="shared" si="27"/>
        <v>7674.6920315865036</v>
      </c>
      <c r="I57" s="320">
        <f t="shared" si="27"/>
        <v>8100.515151515152</v>
      </c>
      <c r="J57" s="320">
        <f t="shared" si="27"/>
        <v>7477.3565242917948</v>
      </c>
      <c r="K57" s="362">
        <f t="shared" si="27"/>
        <v>7421.5725040916532</v>
      </c>
      <c r="L57" s="362">
        <f t="shared" si="27"/>
        <v>8371.2248754509528</v>
      </c>
      <c r="M57" s="320">
        <f t="shared" si="27"/>
        <v>6959.0451793199809</v>
      </c>
      <c r="N57" s="362">
        <f t="shared" si="27"/>
        <v>8772.1847173327806</v>
      </c>
      <c r="O57" s="320">
        <f t="shared" si="27"/>
        <v>7665.0314769975785</v>
      </c>
      <c r="P57" s="320">
        <f t="shared" si="27"/>
        <v>7304.1463414634145</v>
      </c>
      <c r="Q57" s="92">
        <f t="shared" si="27"/>
        <v>7580.0855590713718</v>
      </c>
      <c r="R57" s="92">
        <v>8183.5049786628733</v>
      </c>
      <c r="S57" s="93">
        <v>7830.8233164373642</v>
      </c>
    </row>
    <row r="58" spans="1:19" s="21" customFormat="1" ht="15" thickBot="1">
      <c r="A58" s="264">
        <v>12</v>
      </c>
      <c r="B58" s="265" t="s">
        <v>67</v>
      </c>
      <c r="C58" s="266"/>
      <c r="D58" s="267">
        <f t="shared" ref="D58:Q58" si="28">SUM(D54)/D34</f>
        <v>35.527424083035278</v>
      </c>
      <c r="E58" s="267">
        <f t="shared" si="28"/>
        <v>34.877361614597113</v>
      </c>
      <c r="F58" s="267">
        <f t="shared" si="28"/>
        <v>42.126209138481755</v>
      </c>
      <c r="G58" s="267">
        <f t="shared" si="28"/>
        <v>44.153500835155178</v>
      </c>
      <c r="H58" s="267">
        <f t="shared" si="28"/>
        <v>36.514925882915499</v>
      </c>
      <c r="I58" s="267">
        <f t="shared" si="28"/>
        <v>43.017483524840571</v>
      </c>
      <c r="J58" s="267">
        <f t="shared" si="28"/>
        <v>41.046395415731354</v>
      </c>
      <c r="K58" s="363">
        <f t="shared" si="28"/>
        <v>32.208003568421738</v>
      </c>
      <c r="L58" s="363">
        <f t="shared" si="28"/>
        <v>33.17488943716436</v>
      </c>
      <c r="M58" s="267">
        <f t="shared" si="28"/>
        <v>30.271546507607191</v>
      </c>
      <c r="N58" s="363">
        <f t="shared" si="28"/>
        <v>44.641840182273057</v>
      </c>
      <c r="O58" s="267">
        <f t="shared" si="28"/>
        <v>37.784878585732663</v>
      </c>
      <c r="P58" s="267">
        <f t="shared" si="28"/>
        <v>42.834969016605989</v>
      </c>
      <c r="Q58" s="73">
        <f t="shared" si="28"/>
        <v>37.476746670201493</v>
      </c>
      <c r="R58" s="73">
        <v>39.765203084306947</v>
      </c>
      <c r="S58" s="380">
        <v>37.993789899690491</v>
      </c>
    </row>
    <row r="59" spans="1:19" s="15" customFormat="1" ht="20.100000000000001" customHeight="1" thickTop="1">
      <c r="A59" s="206">
        <v>13</v>
      </c>
      <c r="B59" s="207" t="s">
        <v>68</v>
      </c>
      <c r="C59" s="220"/>
      <c r="D59" s="209"/>
      <c r="E59" s="209"/>
      <c r="F59" s="209"/>
      <c r="G59" s="209"/>
      <c r="H59" s="209"/>
      <c r="I59" s="209"/>
      <c r="J59" s="209"/>
      <c r="K59" s="345"/>
      <c r="L59" s="345"/>
      <c r="M59" s="209"/>
      <c r="N59" s="345"/>
      <c r="O59" s="209"/>
      <c r="P59" s="209"/>
      <c r="Q59" s="13"/>
      <c r="R59" s="13"/>
      <c r="S59" s="140"/>
    </row>
    <row r="60" spans="1:19" s="21" customFormat="1" ht="20.100000000000001" customHeight="1">
      <c r="A60" s="210"/>
      <c r="B60" s="211" t="s">
        <v>69</v>
      </c>
      <c r="C60" s="212"/>
      <c r="D60" s="269">
        <f>SUM(D58)/67.85*100</f>
        <v>52.361715671385824</v>
      </c>
      <c r="E60" s="269">
        <f t="shared" ref="E60:P60" si="29">SUM(E58)/67.85*100</f>
        <v>51.403628024461476</v>
      </c>
      <c r="F60" s="269">
        <f t="shared" si="29"/>
        <v>62.087264758263458</v>
      </c>
      <c r="G60" s="269">
        <f t="shared" si="29"/>
        <v>65.075167037811624</v>
      </c>
      <c r="H60" s="269">
        <f t="shared" si="29"/>
        <v>53.817134683736924</v>
      </c>
      <c r="I60" s="269">
        <f t="shared" si="29"/>
        <v>63.400860021872617</v>
      </c>
      <c r="J60" s="269">
        <f t="shared" si="29"/>
        <v>60.495792801372673</v>
      </c>
      <c r="K60" s="364">
        <f t="shared" si="29"/>
        <v>47.469423092736534</v>
      </c>
      <c r="L60" s="364">
        <f t="shared" si="29"/>
        <v>48.894457534509009</v>
      </c>
      <c r="M60" s="269">
        <f t="shared" si="29"/>
        <v>44.615396473997336</v>
      </c>
      <c r="N60" s="364">
        <f t="shared" si="29"/>
        <v>65.79490078448498</v>
      </c>
      <c r="O60" s="269">
        <f t="shared" si="29"/>
        <v>55.688840951706212</v>
      </c>
      <c r="P60" s="269">
        <f t="shared" si="29"/>
        <v>63.131862957414874</v>
      </c>
      <c r="Q60" s="97">
        <f>SUM(Q58)/67.85*100</f>
        <v>55.23470400914001</v>
      </c>
      <c r="R60" s="97">
        <v>58.358090819352725</v>
      </c>
      <c r="S60" s="98">
        <v>54.052909232736503</v>
      </c>
    </row>
    <row r="61" spans="1:19" s="27" customFormat="1" ht="63.75" customHeight="1">
      <c r="A61" s="244"/>
      <c r="B61" s="270" t="s">
        <v>176</v>
      </c>
      <c r="C61" s="246"/>
      <c r="D61" s="271">
        <f>D129/67.85*100</f>
        <v>64.170965364775242</v>
      </c>
      <c r="E61" s="271">
        <f t="shared" ref="E61:P61" si="30">E129/67.85*100</f>
        <v>65.055268975681656</v>
      </c>
      <c r="F61" s="271">
        <f t="shared" si="30"/>
        <v>73.220338983050851</v>
      </c>
      <c r="G61" s="271">
        <f t="shared" si="30"/>
        <v>76.241709653647746</v>
      </c>
      <c r="H61" s="271">
        <f t="shared" si="30"/>
        <v>66.868091378039793</v>
      </c>
      <c r="I61" s="271">
        <f t="shared" si="30"/>
        <v>75.357406042741346</v>
      </c>
      <c r="J61" s="271">
        <f t="shared" si="30"/>
        <v>71.451731761238023</v>
      </c>
      <c r="K61" s="365">
        <f t="shared" si="30"/>
        <v>59.145173176123812</v>
      </c>
      <c r="L61" s="365">
        <f t="shared" si="30"/>
        <v>64.112011790714817</v>
      </c>
      <c r="M61" s="271">
        <f t="shared" si="30"/>
        <v>56.772291820191612</v>
      </c>
      <c r="N61" s="365">
        <f t="shared" si="30"/>
        <v>78.113485630066322</v>
      </c>
      <c r="O61" s="271">
        <f t="shared" si="30"/>
        <v>66.941783345615335</v>
      </c>
      <c r="P61" s="271">
        <f t="shared" si="30"/>
        <v>74.959469417833461</v>
      </c>
      <c r="Q61" s="100">
        <f>Q129/67.85*100</f>
        <v>67.499261248434067</v>
      </c>
      <c r="R61" s="271">
        <v>74.008093772135368</v>
      </c>
      <c r="S61" s="174">
        <v>67.387384652775054</v>
      </c>
    </row>
    <row r="62" spans="1:19" s="21" customFormat="1" ht="30.75" customHeight="1">
      <c r="A62" s="210">
        <v>14</v>
      </c>
      <c r="B62" s="211" t="s">
        <v>193</v>
      </c>
      <c r="C62" s="262"/>
      <c r="D62" s="251" t="s">
        <v>72</v>
      </c>
      <c r="E62" s="251" t="s">
        <v>72</v>
      </c>
      <c r="F62" s="251" t="s">
        <v>72</v>
      </c>
      <c r="G62" s="251" t="s">
        <v>72</v>
      </c>
      <c r="H62" s="251" t="s">
        <v>72</v>
      </c>
      <c r="I62" s="251" t="s">
        <v>72</v>
      </c>
      <c r="J62" s="251" t="s">
        <v>72</v>
      </c>
      <c r="K62" s="358" t="s">
        <v>72</v>
      </c>
      <c r="L62" s="358" t="s">
        <v>72</v>
      </c>
      <c r="M62" s="251" t="s">
        <v>72</v>
      </c>
      <c r="N62" s="358" t="s">
        <v>72</v>
      </c>
      <c r="O62" s="251" t="s">
        <v>72</v>
      </c>
      <c r="P62" s="251" t="s">
        <v>72</v>
      </c>
      <c r="Q62" s="63">
        <v>83.51</v>
      </c>
      <c r="R62" s="63">
        <v>83.51</v>
      </c>
      <c r="S62" s="20">
        <v>76.98</v>
      </c>
    </row>
    <row r="63" spans="1:19" s="15" customFormat="1" ht="28.5" customHeight="1">
      <c r="A63" s="261">
        <v>15</v>
      </c>
      <c r="B63" s="211" t="s">
        <v>73</v>
      </c>
      <c r="C63" s="262"/>
      <c r="D63" s="263">
        <f t="shared" ref="D63:Q63" si="31">D15/D8*100</f>
        <v>62.941176470588232</v>
      </c>
      <c r="E63" s="263">
        <f t="shared" si="31"/>
        <v>63.874345549738223</v>
      </c>
      <c r="F63" s="263">
        <f t="shared" si="31"/>
        <v>60</v>
      </c>
      <c r="G63" s="263">
        <f t="shared" si="31"/>
        <v>74.285714285714292</v>
      </c>
      <c r="H63" s="263">
        <f t="shared" si="31"/>
        <v>68.275862068965523</v>
      </c>
      <c r="I63" s="263">
        <f t="shared" si="31"/>
        <v>60.674157303370791</v>
      </c>
      <c r="J63" s="263">
        <f t="shared" si="31"/>
        <v>69.105691056910572</v>
      </c>
      <c r="K63" s="361">
        <f t="shared" si="31"/>
        <v>55.26315789473685</v>
      </c>
      <c r="L63" s="361">
        <f t="shared" si="31"/>
        <v>72.41379310344827</v>
      </c>
      <c r="M63" s="263">
        <f t="shared" si="31"/>
        <v>58.82352941176471</v>
      </c>
      <c r="N63" s="361">
        <f t="shared" si="31"/>
        <v>40.74074074074074</v>
      </c>
      <c r="O63" s="263">
        <f t="shared" si="31"/>
        <v>64.197530864197532</v>
      </c>
      <c r="P63" s="263">
        <f t="shared" si="31"/>
        <v>55.405405405405403</v>
      </c>
      <c r="Q63" s="90">
        <f t="shared" si="31"/>
        <v>63.269230769230766</v>
      </c>
      <c r="R63" s="90">
        <v>64.337990685296077</v>
      </c>
      <c r="S63" s="91">
        <v>67.565649396735267</v>
      </c>
    </row>
    <row r="64" spans="1:19" s="15" customFormat="1" ht="35.25" customHeight="1">
      <c r="A64" s="261">
        <v>16</v>
      </c>
      <c r="B64" s="211" t="s">
        <v>74</v>
      </c>
      <c r="C64" s="262"/>
      <c r="D64" s="263">
        <f t="shared" ref="D64:Q64" si="32">SUM(D51/D15)</f>
        <v>191.74133252939401</v>
      </c>
      <c r="E64" s="263">
        <f t="shared" si="32"/>
        <v>214.94711792702273</v>
      </c>
      <c r="F64" s="263">
        <f t="shared" si="32"/>
        <v>186.82409704990351</v>
      </c>
      <c r="G64" s="263">
        <f t="shared" si="32"/>
        <v>183.39205955334987</v>
      </c>
      <c r="H64" s="263">
        <f t="shared" si="32"/>
        <v>221.51352231997393</v>
      </c>
      <c r="I64" s="263">
        <f t="shared" si="32"/>
        <v>200.59557945041817</v>
      </c>
      <c r="J64" s="263">
        <f t="shared" si="32"/>
        <v>182.86110056925995</v>
      </c>
      <c r="K64" s="361">
        <f t="shared" si="32"/>
        <v>234.16231438812085</v>
      </c>
      <c r="L64" s="361">
        <f t="shared" si="32"/>
        <v>249.49615975422429</v>
      </c>
      <c r="M64" s="263">
        <f t="shared" si="32"/>
        <v>236.16093189964158</v>
      </c>
      <c r="N64" s="361">
        <f t="shared" si="32"/>
        <v>183.54838709677418</v>
      </c>
      <c r="O64" s="263">
        <f t="shared" si="32"/>
        <v>213.1060794044665</v>
      </c>
      <c r="P64" s="263">
        <f t="shared" si="32"/>
        <v>179.19905586152638</v>
      </c>
      <c r="Q64" s="90">
        <f t="shared" si="32"/>
        <v>205.58208321077231</v>
      </c>
      <c r="R64" s="90">
        <v>211.35598069631163</v>
      </c>
      <c r="S64" s="91">
        <v>210.56505828137708</v>
      </c>
    </row>
    <row r="65" spans="1:19" s="21" customFormat="1" ht="25.5">
      <c r="A65" s="217">
        <v>17</v>
      </c>
      <c r="B65" s="207" t="s">
        <v>75</v>
      </c>
      <c r="C65" s="220"/>
      <c r="D65" s="272">
        <v>60154</v>
      </c>
      <c r="E65" s="272">
        <v>85671.93548387097</v>
      </c>
      <c r="F65" s="272">
        <v>73861.225806451606</v>
      </c>
      <c r="G65" s="272">
        <v>112089.22580645161</v>
      </c>
      <c r="H65" s="272">
        <v>63238.741935483871</v>
      </c>
      <c r="I65" s="272">
        <v>43171.645161290326</v>
      </c>
      <c r="J65" s="272">
        <v>61045.032258064515</v>
      </c>
      <c r="K65" s="352">
        <v>73228.677419354834</v>
      </c>
      <c r="L65" s="352">
        <v>47926.354838709674</v>
      </c>
      <c r="M65" s="272">
        <v>50208.709677419356</v>
      </c>
      <c r="N65" s="352">
        <v>49402.967741935485</v>
      </c>
      <c r="O65" s="272">
        <v>32936.419354838712</v>
      </c>
      <c r="P65" s="272">
        <v>22170.096774193549</v>
      </c>
      <c r="Q65" s="45">
        <f>SUM(D65:P65)</f>
        <v>775105.03225806449</v>
      </c>
      <c r="R65" s="45">
        <v>824360.7</v>
      </c>
      <c r="S65" s="46">
        <v>788225.80645161285</v>
      </c>
    </row>
    <row r="66" spans="1:19" s="15" customFormat="1" ht="25.5" customHeight="1">
      <c r="A66" s="232"/>
      <c r="B66" s="224" t="s">
        <v>76</v>
      </c>
      <c r="C66" s="234"/>
      <c r="D66" s="238">
        <f t="shared" ref="D66:Q66" si="33">SUM(D65/D17)</f>
        <v>492.60969488838992</v>
      </c>
      <c r="E66" s="238">
        <f t="shared" si="33"/>
        <v>481.30300833635374</v>
      </c>
      <c r="F66" s="238">
        <f t="shared" si="33"/>
        <v>566.40643166357449</v>
      </c>
      <c r="G66" s="238">
        <f t="shared" si="33"/>
        <v>626.30966113914917</v>
      </c>
      <c r="H66" s="238">
        <f t="shared" si="33"/>
        <v>562.92921751615222</v>
      </c>
      <c r="I66" s="238">
        <f t="shared" si="33"/>
        <v>654.11583577712611</v>
      </c>
      <c r="J66" s="238">
        <f t="shared" si="33"/>
        <v>555.5250256861882</v>
      </c>
      <c r="K66" s="351">
        <f t="shared" si="33"/>
        <v>495.38221494817242</v>
      </c>
      <c r="L66" s="351">
        <f t="shared" si="33"/>
        <v>510.46796083147223</v>
      </c>
      <c r="M66" s="238">
        <f t="shared" si="33"/>
        <v>483.30072970035707</v>
      </c>
      <c r="N66" s="351">
        <f t="shared" si="33"/>
        <v>634.28950093186995</v>
      </c>
      <c r="O66" s="238">
        <f t="shared" si="33"/>
        <v>549.38337368845851</v>
      </c>
      <c r="P66" s="238">
        <f t="shared" si="33"/>
        <v>540.73406766325729</v>
      </c>
      <c r="Q66" s="59">
        <f t="shared" si="33"/>
        <v>545.02525716489174</v>
      </c>
      <c r="R66" s="59">
        <v>586.3162873399715</v>
      </c>
      <c r="S66" s="60">
        <v>570.76452313657705</v>
      </c>
    </row>
    <row r="67" spans="1:19" s="21" customFormat="1" ht="30.75" customHeight="1">
      <c r="A67" s="217">
        <v>18</v>
      </c>
      <c r="B67" s="207" t="s">
        <v>77</v>
      </c>
      <c r="C67" s="220"/>
      <c r="D67" s="228" t="s">
        <v>72</v>
      </c>
      <c r="E67" s="228" t="s">
        <v>72</v>
      </c>
      <c r="F67" s="228" t="s">
        <v>72</v>
      </c>
      <c r="G67" s="228" t="s">
        <v>72</v>
      </c>
      <c r="H67" s="228" t="s">
        <v>72</v>
      </c>
      <c r="I67" s="228" t="s">
        <v>72</v>
      </c>
      <c r="J67" s="228" t="s">
        <v>72</v>
      </c>
      <c r="K67" s="356" t="s">
        <v>72</v>
      </c>
      <c r="L67" s="356" t="s">
        <v>72</v>
      </c>
      <c r="M67" s="228" t="s">
        <v>72</v>
      </c>
      <c r="N67" s="356" t="s">
        <v>72</v>
      </c>
      <c r="O67" s="228" t="s">
        <v>72</v>
      </c>
      <c r="P67" s="228" t="s">
        <v>72</v>
      </c>
      <c r="Q67" s="44">
        <v>680500</v>
      </c>
      <c r="R67" s="44">
        <v>828600</v>
      </c>
      <c r="S67" s="14">
        <v>733300</v>
      </c>
    </row>
    <row r="68" spans="1:19" s="15" customFormat="1" ht="20.100000000000001" customHeight="1">
      <c r="A68" s="206">
        <v>19</v>
      </c>
      <c r="B68" s="207" t="s">
        <v>78</v>
      </c>
      <c r="C68" s="220"/>
      <c r="D68" s="209" t="s">
        <v>72</v>
      </c>
      <c r="E68" s="209" t="s">
        <v>72</v>
      </c>
      <c r="F68" s="209" t="s">
        <v>72</v>
      </c>
      <c r="G68" s="209" t="s">
        <v>72</v>
      </c>
      <c r="H68" s="209" t="s">
        <v>72</v>
      </c>
      <c r="I68" s="209" t="s">
        <v>72</v>
      </c>
      <c r="J68" s="209" t="s">
        <v>72</v>
      </c>
      <c r="K68" s="345" t="s">
        <v>72</v>
      </c>
      <c r="L68" s="345" t="s">
        <v>72</v>
      </c>
      <c r="M68" s="209" t="s">
        <v>72</v>
      </c>
      <c r="N68" s="345" t="s">
        <v>72</v>
      </c>
      <c r="O68" s="209" t="s">
        <v>72</v>
      </c>
      <c r="P68" s="209" t="s">
        <v>72</v>
      </c>
      <c r="Q68" s="13">
        <v>3</v>
      </c>
      <c r="R68" s="13">
        <v>3</v>
      </c>
      <c r="S68" s="58">
        <v>6</v>
      </c>
    </row>
    <row r="69" spans="1:19" s="15" customFormat="1" ht="20.100000000000001" customHeight="1">
      <c r="A69" s="232"/>
      <c r="B69" s="224" t="s">
        <v>79</v>
      </c>
      <c r="C69" s="234"/>
      <c r="D69" s="273" t="s">
        <v>72</v>
      </c>
      <c r="E69" s="273" t="s">
        <v>72</v>
      </c>
      <c r="F69" s="273" t="s">
        <v>72</v>
      </c>
      <c r="G69" s="273" t="s">
        <v>72</v>
      </c>
      <c r="H69" s="273" t="s">
        <v>72</v>
      </c>
      <c r="I69" s="273" t="s">
        <v>72</v>
      </c>
      <c r="J69" s="273" t="s">
        <v>72</v>
      </c>
      <c r="K69" s="302" t="s">
        <v>72</v>
      </c>
      <c r="L69" s="302" t="s">
        <v>72</v>
      </c>
      <c r="M69" s="273" t="s">
        <v>72</v>
      </c>
      <c r="N69" s="302" t="s">
        <v>72</v>
      </c>
      <c r="O69" s="273" t="s">
        <v>72</v>
      </c>
      <c r="P69" s="273" t="s">
        <v>72</v>
      </c>
      <c r="Q69" s="105">
        <v>1402</v>
      </c>
      <c r="R69" s="105">
        <v>50</v>
      </c>
      <c r="S69" s="106">
        <v>10</v>
      </c>
    </row>
    <row r="70" spans="1:19" s="15" customFormat="1" ht="25.5">
      <c r="A70" s="206">
        <v>20</v>
      </c>
      <c r="B70" s="207" t="s">
        <v>80</v>
      </c>
      <c r="C70" s="220"/>
      <c r="D70" s="209" t="s">
        <v>72</v>
      </c>
      <c r="E70" s="209" t="s">
        <v>72</v>
      </c>
      <c r="F70" s="209" t="s">
        <v>72</v>
      </c>
      <c r="G70" s="209" t="s">
        <v>72</v>
      </c>
      <c r="H70" s="209" t="s">
        <v>72</v>
      </c>
      <c r="I70" s="209" t="s">
        <v>72</v>
      </c>
      <c r="J70" s="209" t="s">
        <v>72</v>
      </c>
      <c r="K70" s="345" t="s">
        <v>72</v>
      </c>
      <c r="L70" s="345" t="s">
        <v>72</v>
      </c>
      <c r="M70" s="209" t="s">
        <v>72</v>
      </c>
      <c r="N70" s="345" t="s">
        <v>72</v>
      </c>
      <c r="O70" s="209" t="s">
        <v>72</v>
      </c>
      <c r="P70" s="209" t="s">
        <v>72</v>
      </c>
      <c r="Q70" s="13">
        <v>15356</v>
      </c>
      <c r="R70" s="13">
        <v>42689</v>
      </c>
      <c r="S70" s="58">
        <v>30430</v>
      </c>
    </row>
    <row r="71" spans="1:19" s="21" customFormat="1" ht="23.1" customHeight="1">
      <c r="A71" s="210"/>
      <c r="B71" s="211" t="s">
        <v>177</v>
      </c>
      <c r="C71" s="262"/>
      <c r="D71" s="251" t="s">
        <v>72</v>
      </c>
      <c r="E71" s="251" t="s">
        <v>72</v>
      </c>
      <c r="F71" s="251" t="s">
        <v>72</v>
      </c>
      <c r="G71" s="251" t="s">
        <v>72</v>
      </c>
      <c r="H71" s="251" t="s">
        <v>72</v>
      </c>
      <c r="I71" s="251" t="s">
        <v>72</v>
      </c>
      <c r="J71" s="251" t="s">
        <v>72</v>
      </c>
      <c r="K71" s="358" t="s">
        <v>72</v>
      </c>
      <c r="L71" s="358" t="s">
        <v>72</v>
      </c>
      <c r="M71" s="251" t="s">
        <v>72</v>
      </c>
      <c r="N71" s="358" t="s">
        <v>72</v>
      </c>
      <c r="O71" s="251" t="s">
        <v>72</v>
      </c>
      <c r="P71" s="251" t="s">
        <v>72</v>
      </c>
      <c r="Q71" s="63">
        <v>10705830</v>
      </c>
      <c r="R71" s="63">
        <v>30985770</v>
      </c>
      <c r="S71" s="20">
        <v>21176550</v>
      </c>
    </row>
    <row r="72" spans="1:19" s="21" customFormat="1" ht="25.5">
      <c r="A72" s="223"/>
      <c r="B72" s="224" t="s">
        <v>82</v>
      </c>
      <c r="C72" s="234"/>
      <c r="D72" s="255" t="s">
        <v>72</v>
      </c>
      <c r="E72" s="255" t="s">
        <v>72</v>
      </c>
      <c r="F72" s="255" t="s">
        <v>72</v>
      </c>
      <c r="G72" s="255" t="s">
        <v>72</v>
      </c>
      <c r="H72" s="255" t="s">
        <v>72</v>
      </c>
      <c r="I72" s="255" t="s">
        <v>72</v>
      </c>
      <c r="J72" s="255" t="s">
        <v>72</v>
      </c>
      <c r="K72" s="359" t="s">
        <v>72</v>
      </c>
      <c r="L72" s="359" t="s">
        <v>72</v>
      </c>
      <c r="M72" s="255" t="s">
        <v>72</v>
      </c>
      <c r="N72" s="359" t="s">
        <v>72</v>
      </c>
      <c r="O72" s="255" t="s">
        <v>72</v>
      </c>
      <c r="P72" s="255" t="s">
        <v>72</v>
      </c>
      <c r="Q72" s="107">
        <f>SUM(Q71/Q34)</f>
        <v>1.2006115074148975</v>
      </c>
      <c r="R72" s="107">
        <v>3.5696004093792735</v>
      </c>
      <c r="S72" s="108">
        <v>2.3999653206311646</v>
      </c>
    </row>
    <row r="73" spans="1:19" s="21" customFormat="1" ht="17.25" customHeight="1">
      <c r="A73" s="217">
        <v>21</v>
      </c>
      <c r="B73" s="207" t="s">
        <v>83</v>
      </c>
      <c r="C73" s="220"/>
      <c r="D73" s="228" t="s">
        <v>72</v>
      </c>
      <c r="E73" s="228" t="s">
        <v>72</v>
      </c>
      <c r="F73" s="228" t="s">
        <v>72</v>
      </c>
      <c r="G73" s="228" t="s">
        <v>72</v>
      </c>
      <c r="H73" s="228" t="s">
        <v>72</v>
      </c>
      <c r="I73" s="228" t="s">
        <v>72</v>
      </c>
      <c r="J73" s="228" t="s">
        <v>72</v>
      </c>
      <c r="K73" s="356" t="s">
        <v>72</v>
      </c>
      <c r="L73" s="356" t="s">
        <v>72</v>
      </c>
      <c r="M73" s="228" t="s">
        <v>72</v>
      </c>
      <c r="N73" s="356" t="s">
        <v>72</v>
      </c>
      <c r="O73" s="228" t="s">
        <v>72</v>
      </c>
      <c r="P73" s="228" t="s">
        <v>72</v>
      </c>
      <c r="Q73" s="44">
        <f>SUM(C74:C80)</f>
        <v>497480</v>
      </c>
      <c r="R73" s="44">
        <v>526975</v>
      </c>
      <c r="S73" s="14">
        <v>531151</v>
      </c>
    </row>
    <row r="74" spans="1:19" ht="28.5" customHeight="1">
      <c r="A74" s="210"/>
      <c r="B74" s="211" t="s">
        <v>84</v>
      </c>
      <c r="C74" s="262">
        <v>121041</v>
      </c>
      <c r="D74" s="251" t="s">
        <v>72</v>
      </c>
      <c r="E74" s="251" t="s">
        <v>72</v>
      </c>
      <c r="F74" s="251" t="s">
        <v>72</v>
      </c>
      <c r="G74" s="251" t="s">
        <v>72</v>
      </c>
      <c r="H74" s="251" t="s">
        <v>72</v>
      </c>
      <c r="I74" s="251" t="s">
        <v>72</v>
      </c>
      <c r="J74" s="251" t="s">
        <v>72</v>
      </c>
      <c r="K74" s="358" t="s">
        <v>72</v>
      </c>
      <c r="L74" s="358" t="s">
        <v>72</v>
      </c>
      <c r="M74" s="251" t="s">
        <v>72</v>
      </c>
      <c r="N74" s="358" t="s">
        <v>72</v>
      </c>
      <c r="O74" s="251" t="s">
        <v>72</v>
      </c>
      <c r="P74" s="251" t="s">
        <v>72</v>
      </c>
      <c r="Q74" s="63" t="s">
        <v>72</v>
      </c>
      <c r="R74" s="63" t="s">
        <v>72</v>
      </c>
      <c r="S74" s="98"/>
    </row>
    <row r="75" spans="1:19" ht="23.1" customHeight="1">
      <c r="A75" s="210"/>
      <c r="B75" s="211" t="s">
        <v>85</v>
      </c>
      <c r="C75" s="262">
        <v>351568</v>
      </c>
      <c r="D75" s="251" t="s">
        <v>72</v>
      </c>
      <c r="E75" s="251" t="s">
        <v>72</v>
      </c>
      <c r="F75" s="251" t="s">
        <v>72</v>
      </c>
      <c r="G75" s="251" t="s">
        <v>72</v>
      </c>
      <c r="H75" s="251" t="s">
        <v>72</v>
      </c>
      <c r="I75" s="251" t="s">
        <v>72</v>
      </c>
      <c r="J75" s="251" t="s">
        <v>72</v>
      </c>
      <c r="K75" s="358" t="s">
        <v>72</v>
      </c>
      <c r="L75" s="358" t="s">
        <v>72</v>
      </c>
      <c r="M75" s="251" t="s">
        <v>72</v>
      </c>
      <c r="N75" s="358" t="s">
        <v>72</v>
      </c>
      <c r="O75" s="251" t="s">
        <v>72</v>
      </c>
      <c r="P75" s="251" t="s">
        <v>72</v>
      </c>
      <c r="Q75" s="63" t="s">
        <v>72</v>
      </c>
      <c r="R75" s="63" t="s">
        <v>72</v>
      </c>
      <c r="S75" s="20"/>
    </row>
    <row r="76" spans="1:19" ht="27.75" customHeight="1">
      <c r="A76" s="210"/>
      <c r="B76" s="211" t="s">
        <v>86</v>
      </c>
      <c r="C76" s="262">
        <v>8511</v>
      </c>
      <c r="D76" s="251" t="s">
        <v>72</v>
      </c>
      <c r="E76" s="251" t="s">
        <v>72</v>
      </c>
      <c r="F76" s="251" t="s">
        <v>72</v>
      </c>
      <c r="G76" s="251" t="s">
        <v>72</v>
      </c>
      <c r="H76" s="251" t="s">
        <v>72</v>
      </c>
      <c r="I76" s="251" t="s">
        <v>72</v>
      </c>
      <c r="J76" s="251" t="s">
        <v>72</v>
      </c>
      <c r="K76" s="358" t="s">
        <v>72</v>
      </c>
      <c r="L76" s="358" t="s">
        <v>72</v>
      </c>
      <c r="M76" s="251" t="s">
        <v>72</v>
      </c>
      <c r="N76" s="358" t="s">
        <v>72</v>
      </c>
      <c r="O76" s="251" t="s">
        <v>72</v>
      </c>
      <c r="P76" s="251" t="s">
        <v>72</v>
      </c>
      <c r="Q76" s="63" t="s">
        <v>72</v>
      </c>
      <c r="R76" s="63" t="s">
        <v>72</v>
      </c>
      <c r="S76" s="98"/>
    </row>
    <row r="77" spans="1:19" ht="23.1" customHeight="1">
      <c r="A77" s="210"/>
      <c r="B77" s="231" t="s">
        <v>87</v>
      </c>
      <c r="C77" s="262">
        <v>1150</v>
      </c>
      <c r="D77" s="251" t="s">
        <v>72</v>
      </c>
      <c r="E77" s="251" t="s">
        <v>72</v>
      </c>
      <c r="F77" s="251" t="s">
        <v>72</v>
      </c>
      <c r="G77" s="251" t="s">
        <v>72</v>
      </c>
      <c r="H77" s="251" t="s">
        <v>72</v>
      </c>
      <c r="I77" s="251" t="s">
        <v>72</v>
      </c>
      <c r="J77" s="251" t="s">
        <v>72</v>
      </c>
      <c r="K77" s="358" t="s">
        <v>72</v>
      </c>
      <c r="L77" s="358" t="s">
        <v>72</v>
      </c>
      <c r="M77" s="251" t="s">
        <v>72</v>
      </c>
      <c r="N77" s="358" t="s">
        <v>72</v>
      </c>
      <c r="O77" s="251" t="s">
        <v>72</v>
      </c>
      <c r="P77" s="251" t="s">
        <v>72</v>
      </c>
      <c r="Q77" s="63" t="s">
        <v>72</v>
      </c>
      <c r="R77" s="63" t="s">
        <v>72</v>
      </c>
      <c r="S77" s="20"/>
    </row>
    <row r="78" spans="1:19" ht="23.1" customHeight="1">
      <c r="A78" s="217"/>
      <c r="B78" s="207" t="s">
        <v>88</v>
      </c>
      <c r="C78" s="262">
        <v>11203</v>
      </c>
      <c r="D78" s="228" t="s">
        <v>72</v>
      </c>
      <c r="E78" s="228" t="s">
        <v>72</v>
      </c>
      <c r="F78" s="228" t="s">
        <v>72</v>
      </c>
      <c r="G78" s="228" t="s">
        <v>72</v>
      </c>
      <c r="H78" s="228" t="s">
        <v>72</v>
      </c>
      <c r="I78" s="228" t="s">
        <v>72</v>
      </c>
      <c r="J78" s="228" t="s">
        <v>72</v>
      </c>
      <c r="K78" s="356" t="s">
        <v>72</v>
      </c>
      <c r="L78" s="356" t="s">
        <v>72</v>
      </c>
      <c r="M78" s="228" t="s">
        <v>72</v>
      </c>
      <c r="N78" s="356" t="s">
        <v>72</v>
      </c>
      <c r="O78" s="228" t="s">
        <v>72</v>
      </c>
      <c r="P78" s="228" t="s">
        <v>72</v>
      </c>
      <c r="Q78" s="44" t="s">
        <v>72</v>
      </c>
      <c r="R78" s="44" t="s">
        <v>72</v>
      </c>
      <c r="S78" s="20"/>
    </row>
    <row r="79" spans="1:19" ht="17.25" customHeight="1">
      <c r="A79" s="217"/>
      <c r="B79" s="207" t="s">
        <v>89</v>
      </c>
      <c r="C79" s="262">
        <v>1078</v>
      </c>
      <c r="D79" s="228" t="s">
        <v>72</v>
      </c>
      <c r="E79" s="228" t="s">
        <v>72</v>
      </c>
      <c r="F79" s="228" t="s">
        <v>72</v>
      </c>
      <c r="G79" s="228" t="s">
        <v>72</v>
      </c>
      <c r="H79" s="228" t="s">
        <v>72</v>
      </c>
      <c r="I79" s="228" t="s">
        <v>72</v>
      </c>
      <c r="J79" s="228" t="s">
        <v>72</v>
      </c>
      <c r="K79" s="356" t="s">
        <v>72</v>
      </c>
      <c r="L79" s="356" t="s">
        <v>72</v>
      </c>
      <c r="M79" s="228" t="s">
        <v>72</v>
      </c>
      <c r="N79" s="356" t="s">
        <v>72</v>
      </c>
      <c r="O79" s="228" t="s">
        <v>72</v>
      </c>
      <c r="P79" s="228" t="s">
        <v>72</v>
      </c>
      <c r="Q79" s="44" t="s">
        <v>72</v>
      </c>
      <c r="R79" s="44" t="s">
        <v>72</v>
      </c>
      <c r="S79" s="20"/>
    </row>
    <row r="80" spans="1:19" ht="17.25" customHeight="1">
      <c r="A80" s="217"/>
      <c r="B80" s="207" t="s">
        <v>90</v>
      </c>
      <c r="C80" s="262">
        <v>2929</v>
      </c>
      <c r="D80" s="228" t="s">
        <v>72</v>
      </c>
      <c r="E80" s="228" t="s">
        <v>72</v>
      </c>
      <c r="F80" s="228" t="s">
        <v>72</v>
      </c>
      <c r="G80" s="228" t="s">
        <v>72</v>
      </c>
      <c r="H80" s="228" t="s">
        <v>72</v>
      </c>
      <c r="I80" s="228" t="s">
        <v>72</v>
      </c>
      <c r="J80" s="228" t="s">
        <v>72</v>
      </c>
      <c r="K80" s="356" t="s">
        <v>72</v>
      </c>
      <c r="L80" s="356" t="s">
        <v>72</v>
      </c>
      <c r="M80" s="228" t="s">
        <v>72</v>
      </c>
      <c r="N80" s="356" t="s">
        <v>72</v>
      </c>
      <c r="O80" s="228" t="s">
        <v>72</v>
      </c>
      <c r="P80" s="228" t="s">
        <v>72</v>
      </c>
      <c r="Q80" s="44" t="s">
        <v>72</v>
      </c>
      <c r="R80" s="44" t="s">
        <v>72</v>
      </c>
      <c r="S80" s="20"/>
    </row>
    <row r="81" spans="1:19" s="21" customFormat="1" ht="23.1" customHeight="1">
      <c r="A81" s="210"/>
      <c r="B81" s="211" t="s">
        <v>91</v>
      </c>
      <c r="C81" s="274"/>
      <c r="D81" s="251" t="s">
        <v>72</v>
      </c>
      <c r="E81" s="251" t="s">
        <v>72</v>
      </c>
      <c r="F81" s="251" t="s">
        <v>72</v>
      </c>
      <c r="G81" s="251" t="s">
        <v>72</v>
      </c>
      <c r="H81" s="251" t="s">
        <v>72</v>
      </c>
      <c r="I81" s="251" t="s">
        <v>72</v>
      </c>
      <c r="J81" s="251" t="s">
        <v>72</v>
      </c>
      <c r="K81" s="358" t="s">
        <v>72</v>
      </c>
      <c r="L81" s="358" t="s">
        <v>72</v>
      </c>
      <c r="M81" s="251" t="s">
        <v>72</v>
      </c>
      <c r="N81" s="358" t="s">
        <v>72</v>
      </c>
      <c r="O81" s="251" t="s">
        <v>72</v>
      </c>
      <c r="P81" s="251" t="s">
        <v>72</v>
      </c>
      <c r="Q81" s="45">
        <v>52755440</v>
      </c>
      <c r="R81" s="45">
        <v>60478920</v>
      </c>
      <c r="S81" s="46">
        <v>59409830</v>
      </c>
    </row>
    <row r="82" spans="1:19" s="21" customFormat="1" ht="26.25" thickBot="1">
      <c r="A82" s="264"/>
      <c r="B82" s="265" t="s">
        <v>92</v>
      </c>
      <c r="C82" s="275"/>
      <c r="D82" s="276" t="s">
        <v>72</v>
      </c>
      <c r="E82" s="276" t="s">
        <v>72</v>
      </c>
      <c r="F82" s="276" t="s">
        <v>72</v>
      </c>
      <c r="G82" s="276" t="s">
        <v>72</v>
      </c>
      <c r="H82" s="276" t="s">
        <v>72</v>
      </c>
      <c r="I82" s="276" t="s">
        <v>72</v>
      </c>
      <c r="J82" s="276" t="s">
        <v>72</v>
      </c>
      <c r="K82" s="366" t="s">
        <v>72</v>
      </c>
      <c r="L82" s="366" t="s">
        <v>72</v>
      </c>
      <c r="M82" s="276" t="s">
        <v>72</v>
      </c>
      <c r="N82" s="366" t="s">
        <v>72</v>
      </c>
      <c r="O82" s="276" t="s">
        <v>72</v>
      </c>
      <c r="P82" s="276" t="s">
        <v>72</v>
      </c>
      <c r="Q82" s="73">
        <f>SUM(Q81/Q34)</f>
        <v>5.9162893809014507</v>
      </c>
      <c r="R82" s="73">
        <v>6.9672490821049902</v>
      </c>
      <c r="S82" s="380">
        <v>6.7329915262208893</v>
      </c>
    </row>
    <row r="83" spans="1:19" s="21" customFormat="1" ht="15" thickTop="1">
      <c r="A83" s="217" t="s">
        <v>93</v>
      </c>
      <c r="B83" s="207" t="s">
        <v>94</v>
      </c>
      <c r="C83" s="277"/>
      <c r="D83" s="228"/>
      <c r="E83" s="228"/>
      <c r="F83" s="228"/>
      <c r="G83" s="228"/>
      <c r="H83" s="228"/>
      <c r="I83" s="228"/>
      <c r="J83" s="228"/>
      <c r="K83" s="356"/>
      <c r="L83" s="356"/>
      <c r="M83" s="228"/>
      <c r="N83" s="356"/>
      <c r="O83" s="228"/>
      <c r="P83" s="228"/>
      <c r="Q83" s="127"/>
      <c r="R83" s="127"/>
      <c r="S83" s="46"/>
    </row>
    <row r="84" spans="1:19" s="21" customFormat="1">
      <c r="A84" s="210"/>
      <c r="B84" s="211" t="s">
        <v>95</v>
      </c>
      <c r="C84" s="278"/>
      <c r="D84" s="251" t="s">
        <v>72</v>
      </c>
      <c r="E84" s="251" t="s">
        <v>72</v>
      </c>
      <c r="F84" s="251" t="s">
        <v>72</v>
      </c>
      <c r="G84" s="251" t="s">
        <v>72</v>
      </c>
      <c r="H84" s="251" t="s">
        <v>72</v>
      </c>
      <c r="I84" s="251" t="s">
        <v>72</v>
      </c>
      <c r="J84" s="251" t="s">
        <v>72</v>
      </c>
      <c r="K84" s="358" t="s">
        <v>72</v>
      </c>
      <c r="L84" s="358" t="s">
        <v>72</v>
      </c>
      <c r="M84" s="251" t="s">
        <v>72</v>
      </c>
      <c r="N84" s="358" t="s">
        <v>72</v>
      </c>
      <c r="O84" s="251" t="s">
        <v>72</v>
      </c>
      <c r="P84" s="251" t="s">
        <v>72</v>
      </c>
      <c r="Q84" s="63">
        <v>1</v>
      </c>
      <c r="R84" s="63">
        <v>0</v>
      </c>
      <c r="S84" s="20">
        <v>0</v>
      </c>
    </row>
    <row r="85" spans="1:19" s="21" customFormat="1">
      <c r="A85" s="210"/>
      <c r="B85" s="211" t="s">
        <v>96</v>
      </c>
      <c r="C85" s="278"/>
      <c r="D85" s="251" t="s">
        <v>72</v>
      </c>
      <c r="E85" s="251" t="s">
        <v>72</v>
      </c>
      <c r="F85" s="251" t="s">
        <v>72</v>
      </c>
      <c r="G85" s="251" t="s">
        <v>72</v>
      </c>
      <c r="H85" s="251" t="s">
        <v>72</v>
      </c>
      <c r="I85" s="251" t="s">
        <v>72</v>
      </c>
      <c r="J85" s="251" t="s">
        <v>72</v>
      </c>
      <c r="K85" s="358" t="s">
        <v>72</v>
      </c>
      <c r="L85" s="358" t="s">
        <v>72</v>
      </c>
      <c r="M85" s="251" t="s">
        <v>72</v>
      </c>
      <c r="N85" s="358" t="s">
        <v>72</v>
      </c>
      <c r="O85" s="251" t="s">
        <v>72</v>
      </c>
      <c r="P85" s="251" t="s">
        <v>72</v>
      </c>
      <c r="Q85" s="63">
        <v>4</v>
      </c>
      <c r="R85" s="63">
        <v>0</v>
      </c>
      <c r="S85" s="20">
        <v>2</v>
      </c>
    </row>
    <row r="86" spans="1:19" s="21" customFormat="1">
      <c r="A86" s="210"/>
      <c r="B86" s="211" t="s">
        <v>97</v>
      </c>
      <c r="C86" s="278"/>
      <c r="D86" s="251" t="s">
        <v>72</v>
      </c>
      <c r="E86" s="251" t="s">
        <v>72</v>
      </c>
      <c r="F86" s="251" t="s">
        <v>72</v>
      </c>
      <c r="G86" s="251" t="s">
        <v>72</v>
      </c>
      <c r="H86" s="251" t="s">
        <v>72</v>
      </c>
      <c r="I86" s="251" t="s">
        <v>72</v>
      </c>
      <c r="J86" s="251" t="s">
        <v>72</v>
      </c>
      <c r="K86" s="358" t="s">
        <v>72</v>
      </c>
      <c r="L86" s="358" t="s">
        <v>72</v>
      </c>
      <c r="M86" s="251" t="s">
        <v>72</v>
      </c>
      <c r="N86" s="358" t="s">
        <v>72</v>
      </c>
      <c r="O86" s="251" t="s">
        <v>72</v>
      </c>
      <c r="P86" s="251" t="s">
        <v>72</v>
      </c>
      <c r="Q86" s="63">
        <v>2</v>
      </c>
      <c r="R86" s="63">
        <v>4</v>
      </c>
      <c r="S86" s="20">
        <v>3</v>
      </c>
    </row>
    <row r="87" spans="1:19" s="21" customFormat="1">
      <c r="A87" s="210"/>
      <c r="B87" s="211" t="s">
        <v>98</v>
      </c>
      <c r="C87" s="278"/>
      <c r="D87" s="251" t="s">
        <v>72</v>
      </c>
      <c r="E87" s="251" t="s">
        <v>72</v>
      </c>
      <c r="F87" s="251" t="s">
        <v>72</v>
      </c>
      <c r="G87" s="251" t="s">
        <v>72</v>
      </c>
      <c r="H87" s="251" t="s">
        <v>72</v>
      </c>
      <c r="I87" s="251" t="s">
        <v>72</v>
      </c>
      <c r="J87" s="251" t="s">
        <v>72</v>
      </c>
      <c r="K87" s="358" t="s">
        <v>72</v>
      </c>
      <c r="L87" s="358" t="s">
        <v>72</v>
      </c>
      <c r="M87" s="251" t="s">
        <v>72</v>
      </c>
      <c r="N87" s="358" t="s">
        <v>72</v>
      </c>
      <c r="O87" s="251" t="s">
        <v>72</v>
      </c>
      <c r="P87" s="251" t="s">
        <v>72</v>
      </c>
      <c r="Q87" s="63">
        <v>3</v>
      </c>
      <c r="R87" s="63">
        <v>2</v>
      </c>
      <c r="S87" s="20">
        <v>1</v>
      </c>
    </row>
    <row r="88" spans="1:19" s="21" customFormat="1">
      <c r="A88" s="210"/>
      <c r="B88" s="211" t="s">
        <v>99</v>
      </c>
      <c r="C88" s="278"/>
      <c r="D88" s="251" t="s">
        <v>72</v>
      </c>
      <c r="E88" s="251" t="s">
        <v>72</v>
      </c>
      <c r="F88" s="251" t="s">
        <v>72</v>
      </c>
      <c r="G88" s="251" t="s">
        <v>72</v>
      </c>
      <c r="H88" s="251" t="s">
        <v>72</v>
      </c>
      <c r="I88" s="251" t="s">
        <v>72</v>
      </c>
      <c r="J88" s="251" t="s">
        <v>72</v>
      </c>
      <c r="K88" s="358" t="s">
        <v>72</v>
      </c>
      <c r="L88" s="358" t="s">
        <v>72</v>
      </c>
      <c r="M88" s="251" t="s">
        <v>72</v>
      </c>
      <c r="N88" s="358" t="s">
        <v>72</v>
      </c>
      <c r="O88" s="251" t="s">
        <v>72</v>
      </c>
      <c r="P88" s="251" t="s">
        <v>72</v>
      </c>
      <c r="Q88" s="63">
        <f>SUM(Q84:Q87)</f>
        <v>10</v>
      </c>
      <c r="R88" s="63">
        <v>6</v>
      </c>
      <c r="S88" s="20">
        <v>6</v>
      </c>
    </row>
    <row r="89" spans="1:19" s="21" customFormat="1" ht="25.5">
      <c r="A89" s="223"/>
      <c r="B89" s="224" t="s">
        <v>100</v>
      </c>
      <c r="C89" s="279"/>
      <c r="D89" s="255" t="s">
        <v>72</v>
      </c>
      <c r="E89" s="255" t="s">
        <v>72</v>
      </c>
      <c r="F89" s="255" t="s">
        <v>72</v>
      </c>
      <c r="G89" s="255" t="s">
        <v>72</v>
      </c>
      <c r="H89" s="255" t="s">
        <v>72</v>
      </c>
      <c r="I89" s="255" t="s">
        <v>72</v>
      </c>
      <c r="J89" s="255" t="s">
        <v>72</v>
      </c>
      <c r="K89" s="359" t="s">
        <v>72</v>
      </c>
      <c r="L89" s="359" t="s">
        <v>72</v>
      </c>
      <c r="M89" s="255" t="s">
        <v>72</v>
      </c>
      <c r="N89" s="359" t="s">
        <v>72</v>
      </c>
      <c r="O89" s="255" t="s">
        <v>72</v>
      </c>
      <c r="P89" s="255" t="s">
        <v>72</v>
      </c>
      <c r="Q89" s="107">
        <f>Q88/Q48*100000</f>
        <v>0.15897758336585749</v>
      </c>
      <c r="R89" s="107">
        <v>9.7856342648550421E-2</v>
      </c>
      <c r="S89" s="108">
        <v>9.6553118054210074E-2</v>
      </c>
    </row>
    <row r="90" spans="1:19" s="21" customFormat="1">
      <c r="A90" s="280" t="s">
        <v>19</v>
      </c>
      <c r="B90" s="207" t="s">
        <v>101</v>
      </c>
      <c r="C90" s="281"/>
      <c r="D90" s="282"/>
      <c r="E90" s="282"/>
      <c r="F90" s="282"/>
      <c r="G90" s="282"/>
      <c r="H90" s="282"/>
      <c r="I90" s="282"/>
      <c r="J90" s="282"/>
      <c r="K90" s="367"/>
      <c r="L90" s="367"/>
      <c r="M90" s="282"/>
      <c r="N90" s="367"/>
      <c r="O90" s="282"/>
      <c r="P90" s="282"/>
      <c r="Q90" s="121"/>
      <c r="R90" s="121"/>
      <c r="S90" s="134"/>
    </row>
    <row r="91" spans="1:19" s="21" customFormat="1">
      <c r="A91" s="280"/>
      <c r="B91" s="211" t="s">
        <v>95</v>
      </c>
      <c r="C91" s="278"/>
      <c r="D91" s="251" t="s">
        <v>72</v>
      </c>
      <c r="E91" s="251" t="s">
        <v>72</v>
      </c>
      <c r="F91" s="251" t="s">
        <v>72</v>
      </c>
      <c r="G91" s="251" t="s">
        <v>72</v>
      </c>
      <c r="H91" s="251" t="s">
        <v>72</v>
      </c>
      <c r="I91" s="251" t="s">
        <v>72</v>
      </c>
      <c r="J91" s="251" t="s">
        <v>72</v>
      </c>
      <c r="K91" s="358" t="s">
        <v>72</v>
      </c>
      <c r="L91" s="358" t="s">
        <v>72</v>
      </c>
      <c r="M91" s="251" t="s">
        <v>72</v>
      </c>
      <c r="N91" s="358" t="s">
        <v>72</v>
      </c>
      <c r="O91" s="251" t="s">
        <v>72</v>
      </c>
      <c r="P91" s="251" t="s">
        <v>72</v>
      </c>
      <c r="Q91" s="63">
        <v>1</v>
      </c>
      <c r="R91" s="63">
        <v>0</v>
      </c>
      <c r="S91" s="20">
        <v>2</v>
      </c>
    </row>
    <row r="92" spans="1:19" s="21" customFormat="1">
      <c r="A92" s="280"/>
      <c r="B92" s="211" t="s">
        <v>96</v>
      </c>
      <c r="C92" s="278"/>
      <c r="D92" s="251" t="s">
        <v>72</v>
      </c>
      <c r="E92" s="251" t="s">
        <v>72</v>
      </c>
      <c r="F92" s="251" t="s">
        <v>72</v>
      </c>
      <c r="G92" s="251" t="s">
        <v>72</v>
      </c>
      <c r="H92" s="251" t="s">
        <v>72</v>
      </c>
      <c r="I92" s="251" t="s">
        <v>72</v>
      </c>
      <c r="J92" s="251" t="s">
        <v>72</v>
      </c>
      <c r="K92" s="358" t="s">
        <v>72</v>
      </c>
      <c r="L92" s="358" t="s">
        <v>72</v>
      </c>
      <c r="M92" s="251" t="s">
        <v>72</v>
      </c>
      <c r="N92" s="358" t="s">
        <v>72</v>
      </c>
      <c r="O92" s="251" t="s">
        <v>72</v>
      </c>
      <c r="P92" s="251" t="s">
        <v>72</v>
      </c>
      <c r="Q92" s="63">
        <v>4</v>
      </c>
      <c r="R92" s="63">
        <v>1</v>
      </c>
      <c r="S92" s="20">
        <v>2</v>
      </c>
    </row>
    <row r="93" spans="1:19" s="21" customFormat="1">
      <c r="A93" s="280"/>
      <c r="B93" s="211" t="s">
        <v>97</v>
      </c>
      <c r="C93" s="278"/>
      <c r="D93" s="251" t="s">
        <v>72</v>
      </c>
      <c r="E93" s="251" t="s">
        <v>72</v>
      </c>
      <c r="F93" s="251" t="s">
        <v>72</v>
      </c>
      <c r="G93" s="251" t="s">
        <v>72</v>
      </c>
      <c r="H93" s="251" t="s">
        <v>72</v>
      </c>
      <c r="I93" s="251" t="s">
        <v>72</v>
      </c>
      <c r="J93" s="251" t="s">
        <v>72</v>
      </c>
      <c r="K93" s="358" t="s">
        <v>72</v>
      </c>
      <c r="L93" s="358" t="s">
        <v>72</v>
      </c>
      <c r="M93" s="251" t="s">
        <v>72</v>
      </c>
      <c r="N93" s="358" t="s">
        <v>72</v>
      </c>
      <c r="O93" s="251" t="s">
        <v>72</v>
      </c>
      <c r="P93" s="251" t="s">
        <v>72</v>
      </c>
      <c r="Q93" s="63">
        <v>2</v>
      </c>
      <c r="R93" s="63">
        <v>1</v>
      </c>
      <c r="S93" s="20">
        <v>3</v>
      </c>
    </row>
    <row r="94" spans="1:19" s="21" customFormat="1">
      <c r="A94" s="280"/>
      <c r="B94" s="211" t="s">
        <v>98</v>
      </c>
      <c r="C94" s="278"/>
      <c r="D94" s="251" t="s">
        <v>72</v>
      </c>
      <c r="E94" s="251" t="s">
        <v>72</v>
      </c>
      <c r="F94" s="251" t="s">
        <v>72</v>
      </c>
      <c r="G94" s="251" t="s">
        <v>72</v>
      </c>
      <c r="H94" s="251" t="s">
        <v>72</v>
      </c>
      <c r="I94" s="251" t="s">
        <v>72</v>
      </c>
      <c r="J94" s="251" t="s">
        <v>72</v>
      </c>
      <c r="K94" s="358" t="s">
        <v>72</v>
      </c>
      <c r="L94" s="358" t="s">
        <v>72</v>
      </c>
      <c r="M94" s="251" t="s">
        <v>72</v>
      </c>
      <c r="N94" s="358" t="s">
        <v>72</v>
      </c>
      <c r="O94" s="251" t="s">
        <v>72</v>
      </c>
      <c r="P94" s="251" t="s">
        <v>72</v>
      </c>
      <c r="Q94" s="63">
        <v>0</v>
      </c>
      <c r="R94" s="63">
        <v>3</v>
      </c>
      <c r="S94" s="20">
        <v>1</v>
      </c>
    </row>
    <row r="95" spans="1:19" s="21" customFormat="1">
      <c r="A95" s="280"/>
      <c r="B95" s="253" t="s">
        <v>99</v>
      </c>
      <c r="C95" s="283"/>
      <c r="D95" s="284" t="s">
        <v>72</v>
      </c>
      <c r="E95" s="284" t="s">
        <v>72</v>
      </c>
      <c r="F95" s="284" t="s">
        <v>72</v>
      </c>
      <c r="G95" s="284" t="s">
        <v>72</v>
      </c>
      <c r="H95" s="284" t="s">
        <v>72</v>
      </c>
      <c r="I95" s="284" t="s">
        <v>72</v>
      </c>
      <c r="J95" s="284" t="s">
        <v>72</v>
      </c>
      <c r="K95" s="368" t="s">
        <v>72</v>
      </c>
      <c r="L95" s="368" t="s">
        <v>72</v>
      </c>
      <c r="M95" s="284" t="s">
        <v>72</v>
      </c>
      <c r="N95" s="368" t="s">
        <v>72</v>
      </c>
      <c r="O95" s="284" t="s">
        <v>72</v>
      </c>
      <c r="P95" s="284" t="s">
        <v>72</v>
      </c>
      <c r="Q95" s="111">
        <f>SUM(Q91:Q94)</f>
        <v>7</v>
      </c>
      <c r="R95" s="111">
        <v>5</v>
      </c>
      <c r="S95" s="177">
        <v>8</v>
      </c>
    </row>
    <row r="96" spans="1:19" s="21" customFormat="1" ht="26.25" thickBot="1">
      <c r="A96" s="264"/>
      <c r="B96" s="265" t="s">
        <v>100</v>
      </c>
      <c r="C96" s="285"/>
      <c r="D96" s="276" t="s">
        <v>72</v>
      </c>
      <c r="E96" s="276" t="s">
        <v>72</v>
      </c>
      <c r="F96" s="276" t="s">
        <v>72</v>
      </c>
      <c r="G96" s="276" t="s">
        <v>72</v>
      </c>
      <c r="H96" s="276" t="s">
        <v>72</v>
      </c>
      <c r="I96" s="276" t="s">
        <v>72</v>
      </c>
      <c r="J96" s="276" t="s">
        <v>72</v>
      </c>
      <c r="K96" s="366" t="s">
        <v>72</v>
      </c>
      <c r="L96" s="366" t="s">
        <v>72</v>
      </c>
      <c r="M96" s="276" t="s">
        <v>72</v>
      </c>
      <c r="N96" s="366" t="s">
        <v>72</v>
      </c>
      <c r="O96" s="276" t="s">
        <v>72</v>
      </c>
      <c r="P96" s="276" t="s">
        <v>72</v>
      </c>
      <c r="Q96" s="73">
        <f>Q95/Q33*100000</f>
        <v>0.24531595468383505</v>
      </c>
      <c r="R96" s="73">
        <v>0.18037524544561523</v>
      </c>
      <c r="S96" s="74">
        <v>0.28262239669444844</v>
      </c>
    </row>
    <row r="97" spans="1:19" s="21" customFormat="1" ht="15" thickTop="1">
      <c r="A97" s="217"/>
      <c r="B97" s="286" t="s">
        <v>102</v>
      </c>
      <c r="C97" s="287"/>
      <c r="D97" s="228"/>
      <c r="E97" s="228"/>
      <c r="F97" s="228"/>
      <c r="G97" s="228"/>
      <c r="H97" s="228"/>
      <c r="I97" s="228"/>
      <c r="J97" s="228"/>
      <c r="K97" s="356"/>
      <c r="L97" s="356"/>
      <c r="M97" s="228"/>
      <c r="N97" s="356"/>
      <c r="O97" s="228"/>
      <c r="P97" s="228"/>
      <c r="Q97" s="127"/>
      <c r="R97" s="127"/>
      <c r="S97" s="14"/>
    </row>
    <row r="98" spans="1:19" s="21" customFormat="1">
      <c r="A98" s="210">
        <v>23</v>
      </c>
      <c r="B98" s="211" t="s">
        <v>103</v>
      </c>
      <c r="C98" s="288"/>
      <c r="D98" s="209">
        <v>111</v>
      </c>
      <c r="E98" s="209">
        <v>56</v>
      </c>
      <c r="F98" s="209">
        <v>105</v>
      </c>
      <c r="G98" s="209">
        <v>34</v>
      </c>
      <c r="H98" s="209">
        <v>63</v>
      </c>
      <c r="I98" s="209">
        <v>46</v>
      </c>
      <c r="J98" s="209">
        <v>60</v>
      </c>
      <c r="K98" s="345">
        <v>23</v>
      </c>
      <c r="L98" s="345">
        <v>6</v>
      </c>
      <c r="M98" s="209">
        <v>68</v>
      </c>
      <c r="N98" s="345">
        <v>6</v>
      </c>
      <c r="O98" s="209">
        <v>44</v>
      </c>
      <c r="P98" s="209">
        <v>32</v>
      </c>
      <c r="Q98" s="19">
        <f>SUM(C98:P98)</f>
        <v>654</v>
      </c>
      <c r="R98" s="19">
        <v>760</v>
      </c>
      <c r="S98" s="96">
        <v>1035</v>
      </c>
    </row>
    <row r="99" spans="1:19" s="15" customFormat="1" ht="25.5">
      <c r="A99" s="232">
        <v>24</v>
      </c>
      <c r="B99" s="224" t="s">
        <v>104</v>
      </c>
      <c r="C99" s="289"/>
      <c r="D99" s="226">
        <f t="shared" ref="D99:Q99" si="34">SUM(D98/D48*10000)</f>
        <v>1.7452665540891124</v>
      </c>
      <c r="E99" s="226">
        <f t="shared" si="34"/>
        <v>0.68886620004182397</v>
      </c>
      <c r="F99" s="226">
        <f t="shared" si="34"/>
        <v>1.5495616216383736</v>
      </c>
      <c r="G99" s="226">
        <f t="shared" si="34"/>
        <v>0.57504701855034024</v>
      </c>
      <c r="H99" s="226">
        <f t="shared" si="34"/>
        <v>0.92670907954252935</v>
      </c>
      <c r="I99" s="226">
        <f t="shared" si="34"/>
        <v>1.3698752520123765</v>
      </c>
      <c r="J99" s="226">
        <f t="shared" si="34"/>
        <v>1.2452292155678557</v>
      </c>
      <c r="K99" s="349">
        <f t="shared" si="34"/>
        <v>0.50293121431648369</v>
      </c>
      <c r="L99" s="349">
        <f t="shared" si="34"/>
        <v>0.18470404255581138</v>
      </c>
      <c r="M99" s="226">
        <f t="shared" si="34"/>
        <v>1.0320402981382297</v>
      </c>
      <c r="N99" s="349">
        <f t="shared" si="34"/>
        <v>0.95861958779357725</v>
      </c>
      <c r="O99" s="226">
        <f t="shared" si="34"/>
        <v>1.2808309099430322</v>
      </c>
      <c r="P99" s="226">
        <f t="shared" si="34"/>
        <v>1.4049753690255617</v>
      </c>
      <c r="Q99" s="42">
        <f t="shared" si="34"/>
        <v>1.039713395212708</v>
      </c>
      <c r="R99" s="42">
        <v>1.2395136735483052</v>
      </c>
      <c r="S99" s="43">
        <v>1.6655412864351236</v>
      </c>
    </row>
    <row r="100" spans="1:19" s="130" customFormat="1" ht="25.5">
      <c r="A100" s="206">
        <v>25</v>
      </c>
      <c r="B100" s="207" t="s">
        <v>105</v>
      </c>
      <c r="C100" s="287"/>
      <c r="D100" s="209">
        <v>114605</v>
      </c>
      <c r="E100" s="209">
        <v>18157</v>
      </c>
      <c r="F100" s="209">
        <v>120700</v>
      </c>
      <c r="G100" s="209">
        <f>111418+7063</f>
        <v>118481</v>
      </c>
      <c r="H100" s="209">
        <v>132305</v>
      </c>
      <c r="I100" s="209">
        <v>102889</v>
      </c>
      <c r="J100" s="209">
        <v>153322</v>
      </c>
      <c r="K100" s="345">
        <v>63048</v>
      </c>
      <c r="L100" s="345">
        <v>17470</v>
      </c>
      <c r="M100" s="209">
        <v>25547</v>
      </c>
      <c r="N100" s="345">
        <v>0</v>
      </c>
      <c r="O100" s="209">
        <v>10390</v>
      </c>
      <c r="P100" s="209">
        <v>21265</v>
      </c>
      <c r="Q100" s="44">
        <f>SUM(C100:P100)</f>
        <v>898179</v>
      </c>
      <c r="R100" s="44">
        <v>1006210</v>
      </c>
      <c r="S100" s="14">
        <v>1228444</v>
      </c>
    </row>
    <row r="101" spans="1:19" s="33" customFormat="1" ht="25.5">
      <c r="A101" s="244"/>
      <c r="B101" s="211" t="s">
        <v>106</v>
      </c>
      <c r="C101" s="290"/>
      <c r="D101" s="222">
        <f>D100/C5</f>
        <v>3696.9354838709678</v>
      </c>
      <c r="E101" s="222">
        <f>E100/C5</f>
        <v>585.70967741935488</v>
      </c>
      <c r="F101" s="222">
        <f>F100/C5</f>
        <v>3893.5483870967741</v>
      </c>
      <c r="G101" s="222">
        <f>G100/C5</f>
        <v>3821.9677419354839</v>
      </c>
      <c r="H101" s="222">
        <f>H100/C5</f>
        <v>4267.9032258064517</v>
      </c>
      <c r="I101" s="222">
        <f>I100/C5</f>
        <v>3319</v>
      </c>
      <c r="J101" s="222">
        <f>J100/C5</f>
        <v>4945.8709677419356</v>
      </c>
      <c r="K101" s="348">
        <f>K100/C5</f>
        <v>2033.8064516129032</v>
      </c>
      <c r="L101" s="348">
        <f>L100/C5</f>
        <v>563.54838709677415</v>
      </c>
      <c r="M101" s="222">
        <f>M100/C5</f>
        <v>824.09677419354841</v>
      </c>
      <c r="N101" s="348">
        <f>N100/C5</f>
        <v>0</v>
      </c>
      <c r="O101" s="222">
        <f>O100/C5</f>
        <v>335.16129032258067</v>
      </c>
      <c r="P101" s="222">
        <f>P100/C5</f>
        <v>685.9677419354839</v>
      </c>
      <c r="Q101" s="37">
        <f>Q100/C5</f>
        <v>28973.516129032258</v>
      </c>
      <c r="R101" s="37">
        <v>33540.333333333336</v>
      </c>
      <c r="S101" s="38">
        <v>39627.225806451614</v>
      </c>
    </row>
    <row r="102" spans="1:19" ht="25.5">
      <c r="A102" s="210"/>
      <c r="B102" s="211" t="s">
        <v>107</v>
      </c>
      <c r="C102" s="278"/>
      <c r="D102" s="209">
        <v>58.75</v>
      </c>
      <c r="E102" s="209">
        <v>58.78</v>
      </c>
      <c r="F102" s="209">
        <v>59.32</v>
      </c>
      <c r="G102" s="209">
        <v>63.05</v>
      </c>
      <c r="H102" s="209">
        <v>71.58</v>
      </c>
      <c r="I102" s="209">
        <v>68.05</v>
      </c>
      <c r="J102" s="209">
        <v>64.459999999999994</v>
      </c>
      <c r="K102" s="345">
        <v>59.08</v>
      </c>
      <c r="L102" s="345">
        <v>58.1</v>
      </c>
      <c r="M102" s="209">
        <v>57.3</v>
      </c>
      <c r="N102" s="345">
        <v>0</v>
      </c>
      <c r="O102" s="209">
        <v>57.03</v>
      </c>
      <c r="P102" s="209">
        <v>44.24</v>
      </c>
      <c r="Q102" s="97">
        <v>62.42</v>
      </c>
      <c r="R102" s="97">
        <v>64.5</v>
      </c>
      <c r="S102" s="98">
        <v>64.23</v>
      </c>
    </row>
    <row r="103" spans="1:19" ht="25.5">
      <c r="A103" s="210"/>
      <c r="B103" s="211" t="s">
        <v>108</v>
      </c>
      <c r="C103" s="278"/>
      <c r="D103" s="209">
        <v>84644</v>
      </c>
      <c r="E103" s="209">
        <v>242496</v>
      </c>
      <c r="F103" s="209">
        <v>101828</v>
      </c>
      <c r="G103" s="209">
        <v>74461</v>
      </c>
      <c r="H103" s="209">
        <v>83578</v>
      </c>
      <c r="I103" s="209">
        <v>11363</v>
      </c>
      <c r="J103" s="209">
        <v>19773</v>
      </c>
      <c r="K103" s="345">
        <v>54335</v>
      </c>
      <c r="L103" s="345">
        <v>70977</v>
      </c>
      <c r="M103" s="209">
        <v>172299</v>
      </c>
      <c r="N103" s="345">
        <v>24581</v>
      </c>
      <c r="O103" s="209">
        <v>106580</v>
      </c>
      <c r="P103" s="209">
        <v>65981</v>
      </c>
      <c r="Q103" s="37">
        <f>SUM(C103:P103)</f>
        <v>1112896</v>
      </c>
      <c r="R103" s="37">
        <v>961661</v>
      </c>
      <c r="S103" s="38">
        <v>753678</v>
      </c>
    </row>
    <row r="104" spans="1:19" ht="25.5">
      <c r="A104" s="210"/>
      <c r="B104" s="211" t="s">
        <v>109</v>
      </c>
      <c r="C104" s="278"/>
      <c r="D104" s="222">
        <f>D103/C5</f>
        <v>2730.4516129032259</v>
      </c>
      <c r="E104" s="222">
        <f>E103/C5</f>
        <v>7822.4516129032254</v>
      </c>
      <c r="F104" s="222">
        <f>F103/C5</f>
        <v>3284.7741935483873</v>
      </c>
      <c r="G104" s="222">
        <f>G103/C5</f>
        <v>2401.9677419354839</v>
      </c>
      <c r="H104" s="222">
        <f>H103/C5</f>
        <v>2696.0645161290322</v>
      </c>
      <c r="I104" s="222">
        <f>I103/C5</f>
        <v>366.54838709677421</v>
      </c>
      <c r="J104" s="222">
        <f>J103/C5</f>
        <v>637.83870967741939</v>
      </c>
      <c r="K104" s="348">
        <f>K103/C5</f>
        <v>1752.741935483871</v>
      </c>
      <c r="L104" s="348">
        <f>L103/C5</f>
        <v>2289.5806451612902</v>
      </c>
      <c r="M104" s="222">
        <f>M103/C5</f>
        <v>5558.0322580645161</v>
      </c>
      <c r="N104" s="348">
        <f>N103/C5</f>
        <v>792.93548387096769</v>
      </c>
      <c r="O104" s="222">
        <f>O103/C5</f>
        <v>3438.0645161290322</v>
      </c>
      <c r="P104" s="222">
        <f>P103/C5</f>
        <v>2128.4193548387098</v>
      </c>
      <c r="Q104" s="37">
        <f>Q103/31</f>
        <v>35899.870967741932</v>
      </c>
      <c r="R104" s="37">
        <v>31021.322580645163</v>
      </c>
      <c r="S104" s="38">
        <v>24312.193548387098</v>
      </c>
    </row>
    <row r="105" spans="1:19" s="15" customFormat="1" ht="25.5">
      <c r="A105" s="291"/>
      <c r="B105" s="207" t="s">
        <v>110</v>
      </c>
      <c r="C105" s="292"/>
      <c r="D105" s="271">
        <v>61.95</v>
      </c>
      <c r="E105" s="271">
        <v>69.819999999999993</v>
      </c>
      <c r="F105" s="271">
        <v>63.95</v>
      </c>
      <c r="G105" s="271">
        <v>55.36</v>
      </c>
      <c r="H105" s="271">
        <v>68.48</v>
      </c>
      <c r="I105" s="271">
        <v>70.16</v>
      </c>
      <c r="J105" s="271">
        <v>77.09</v>
      </c>
      <c r="K105" s="365">
        <v>61.35</v>
      </c>
      <c r="L105" s="365">
        <v>70.88</v>
      </c>
      <c r="M105" s="271">
        <v>73.5</v>
      </c>
      <c r="N105" s="365">
        <v>72.09</v>
      </c>
      <c r="O105" s="271">
        <v>74.540000000000006</v>
      </c>
      <c r="P105" s="271">
        <v>83.49</v>
      </c>
      <c r="Q105" s="133">
        <v>68.66</v>
      </c>
      <c r="R105" s="133">
        <v>71.72</v>
      </c>
      <c r="S105" s="179">
        <v>72.47</v>
      </c>
    </row>
    <row r="106" spans="1:19" s="21" customFormat="1">
      <c r="A106" s="256">
        <v>26</v>
      </c>
      <c r="B106" s="257" t="s">
        <v>111</v>
      </c>
      <c r="C106" s="281"/>
      <c r="D106" s="293">
        <f>SUM(D46/D100)</f>
        <v>3.2637668513590157</v>
      </c>
      <c r="E106" s="293">
        <f>SUM(E46/E100)</f>
        <v>3.656771493088065</v>
      </c>
      <c r="F106" s="293">
        <f t="shared" ref="F106:O106" si="35">SUM(F46/F100)</f>
        <v>3.1493620546810273</v>
      </c>
      <c r="G106" s="293">
        <v>3.06</v>
      </c>
      <c r="H106" s="293">
        <f t="shared" si="35"/>
        <v>3.0947809984505499</v>
      </c>
      <c r="I106" s="293">
        <f t="shared" si="35"/>
        <v>2.9479050238606654</v>
      </c>
      <c r="J106" s="293">
        <f t="shared" si="35"/>
        <v>2.8367357587299931</v>
      </c>
      <c r="K106" s="369">
        <f t="shared" si="35"/>
        <v>3.9637577718563635</v>
      </c>
      <c r="L106" s="369">
        <f t="shared" si="35"/>
        <v>4.2939324556382372</v>
      </c>
      <c r="M106" s="293">
        <f t="shared" si="35"/>
        <v>4.1217755509453164</v>
      </c>
      <c r="N106" s="369">
        <v>0</v>
      </c>
      <c r="O106" s="293">
        <f t="shared" si="35"/>
        <v>3.7364773820981712</v>
      </c>
      <c r="P106" s="293">
        <f>SUM(P46/P100)</f>
        <v>4.0505525511403713</v>
      </c>
      <c r="Q106" s="94">
        <f>SUM(Q46/Q100)</f>
        <v>3.193174189109298</v>
      </c>
      <c r="R106" s="94">
        <v>3.2214855745818469</v>
      </c>
      <c r="S106" s="95">
        <v>3.2912639403993995</v>
      </c>
    </row>
    <row r="107" spans="1:19" s="21" customFormat="1">
      <c r="A107" s="210"/>
      <c r="B107" s="207" t="s">
        <v>112</v>
      </c>
      <c r="C107" s="278"/>
      <c r="D107" s="269">
        <f t="shared" ref="D107:J107" si="36">SUM(D47/D103)</f>
        <v>3.0948679173952081</v>
      </c>
      <c r="E107" s="269">
        <f t="shared" si="36"/>
        <v>3.0785415017154922</v>
      </c>
      <c r="F107" s="269">
        <f t="shared" si="36"/>
        <v>2.9214263267470635</v>
      </c>
      <c r="G107" s="269">
        <f t="shared" si="36"/>
        <v>3.3125528800311574</v>
      </c>
      <c r="H107" s="269">
        <f t="shared" si="36"/>
        <v>3.2349422096724019</v>
      </c>
      <c r="I107" s="269">
        <f t="shared" si="36"/>
        <v>2.8592801196867024</v>
      </c>
      <c r="J107" s="269">
        <f t="shared" si="36"/>
        <v>2.3721741769079046</v>
      </c>
      <c r="K107" s="364">
        <f t="shared" ref="K107:Q107" si="37">SUM(K47/K103)</f>
        <v>3.8172816784761205</v>
      </c>
      <c r="L107" s="364">
        <f t="shared" si="37"/>
        <v>3.5198585457260805</v>
      </c>
      <c r="M107" s="269">
        <f t="shared" si="37"/>
        <v>3.212961189560009</v>
      </c>
      <c r="N107" s="364">
        <f t="shared" si="37"/>
        <v>2.546275578698995</v>
      </c>
      <c r="O107" s="269">
        <f t="shared" si="37"/>
        <v>2.8589322574591858</v>
      </c>
      <c r="P107" s="269">
        <f>SUM(P47/P103)</f>
        <v>2.1464815628741607</v>
      </c>
      <c r="Q107" s="97">
        <f t="shared" si="37"/>
        <v>3.0749980231755707</v>
      </c>
      <c r="R107" s="97">
        <v>3.0051608622997086</v>
      </c>
      <c r="S107" s="98">
        <v>2.8969228238053919</v>
      </c>
    </row>
    <row r="108" spans="1:19" s="21" customFormat="1" ht="25.5">
      <c r="A108" s="217">
        <v>27</v>
      </c>
      <c r="B108" s="207" t="s">
        <v>113</v>
      </c>
      <c r="C108" s="294"/>
      <c r="D108" s="209">
        <v>1258</v>
      </c>
      <c r="E108" s="209">
        <v>679</v>
      </c>
      <c r="F108" s="209">
        <v>1093</v>
      </c>
      <c r="G108" s="209">
        <v>502</v>
      </c>
      <c r="H108" s="209">
        <v>951</v>
      </c>
      <c r="I108" s="209">
        <v>571</v>
      </c>
      <c r="J108" s="209">
        <v>673</v>
      </c>
      <c r="K108" s="345">
        <v>514</v>
      </c>
      <c r="L108" s="345">
        <v>155</v>
      </c>
      <c r="M108" s="209">
        <v>794</v>
      </c>
      <c r="N108" s="345">
        <v>94</v>
      </c>
      <c r="O108" s="209">
        <v>592</v>
      </c>
      <c r="P108" s="209">
        <v>521</v>
      </c>
      <c r="Q108" s="44">
        <f>SUM(D108:P108)</f>
        <v>8397</v>
      </c>
      <c r="R108" s="44">
        <v>8214</v>
      </c>
      <c r="S108" s="14">
        <v>10302</v>
      </c>
    </row>
    <row r="109" spans="1:19" s="21" customFormat="1" ht="25.5">
      <c r="A109" s="210"/>
      <c r="B109" s="207" t="s">
        <v>178</v>
      </c>
      <c r="C109" s="278"/>
      <c r="D109" s="295">
        <f t="shared" ref="D109:Q109" si="38">SUM(D108)/$C5</f>
        <v>40.58064516129032</v>
      </c>
      <c r="E109" s="295">
        <f t="shared" si="38"/>
        <v>21.903225806451612</v>
      </c>
      <c r="F109" s="295">
        <f t="shared" si="38"/>
        <v>35.258064516129032</v>
      </c>
      <c r="G109" s="295">
        <f t="shared" si="38"/>
        <v>16.193548387096776</v>
      </c>
      <c r="H109" s="295">
        <f t="shared" si="38"/>
        <v>30.677419354838708</v>
      </c>
      <c r="I109" s="295">
        <f t="shared" si="38"/>
        <v>18.419354838709676</v>
      </c>
      <c r="J109" s="295">
        <f t="shared" si="38"/>
        <v>21.70967741935484</v>
      </c>
      <c r="K109" s="370">
        <f t="shared" si="38"/>
        <v>16.580645161290324</v>
      </c>
      <c r="L109" s="370">
        <f t="shared" si="38"/>
        <v>5</v>
      </c>
      <c r="M109" s="295">
        <f t="shared" si="38"/>
        <v>25.612903225806452</v>
      </c>
      <c r="N109" s="370">
        <f t="shared" si="38"/>
        <v>3.032258064516129</v>
      </c>
      <c r="O109" s="295">
        <f t="shared" si="38"/>
        <v>19.096774193548388</v>
      </c>
      <c r="P109" s="295">
        <f t="shared" si="38"/>
        <v>16.806451612903224</v>
      </c>
      <c r="Q109" s="136">
        <f t="shared" si="38"/>
        <v>270.87096774193549</v>
      </c>
      <c r="R109" s="136">
        <v>273.8</v>
      </c>
      <c r="S109" s="180">
        <v>332.32258064516128</v>
      </c>
    </row>
    <row r="110" spans="1:19" s="21" customFormat="1">
      <c r="A110" s="210">
        <v>28</v>
      </c>
      <c r="B110" s="211" t="s">
        <v>115</v>
      </c>
      <c r="C110" s="274"/>
      <c r="D110" s="295">
        <f t="shared" ref="D110:Q110" si="39">SUM(D48/D108)</f>
        <v>505.5691573926868</v>
      </c>
      <c r="E110" s="295">
        <f t="shared" si="39"/>
        <v>1197.2459499263623</v>
      </c>
      <c r="F110" s="295">
        <f t="shared" si="39"/>
        <v>619.95516925892036</v>
      </c>
      <c r="G110" s="295">
        <f t="shared" si="39"/>
        <v>1177.800796812749</v>
      </c>
      <c r="H110" s="295">
        <f t="shared" si="39"/>
        <v>714.85278654048375</v>
      </c>
      <c r="I110" s="295">
        <f t="shared" si="39"/>
        <v>588.08581436077054</v>
      </c>
      <c r="J110" s="295">
        <f t="shared" si="39"/>
        <v>715.95690936106985</v>
      </c>
      <c r="K110" s="370">
        <f t="shared" si="39"/>
        <v>889.72568093385212</v>
      </c>
      <c r="L110" s="370">
        <f t="shared" si="39"/>
        <v>2095.7677419354841</v>
      </c>
      <c r="M110" s="295">
        <f t="shared" si="39"/>
        <v>829.83501259445848</v>
      </c>
      <c r="N110" s="370">
        <f t="shared" si="39"/>
        <v>665.85106382978722</v>
      </c>
      <c r="O110" s="295">
        <f t="shared" si="39"/>
        <v>580.28209459459458</v>
      </c>
      <c r="P110" s="295">
        <f t="shared" si="39"/>
        <v>437.16314779270635</v>
      </c>
      <c r="Q110" s="136">
        <f t="shared" si="39"/>
        <v>749.10027390734786</v>
      </c>
      <c r="R110" s="136">
        <v>746.46177258339424</v>
      </c>
      <c r="S110" s="180">
        <v>603.20287322849936</v>
      </c>
    </row>
    <row r="111" spans="1:19" s="21" customFormat="1" ht="25.5">
      <c r="A111" s="210">
        <v>29</v>
      </c>
      <c r="B111" s="211" t="s">
        <v>116</v>
      </c>
      <c r="C111" s="274"/>
      <c r="D111" s="209">
        <v>16</v>
      </c>
      <c r="E111" s="209">
        <v>31</v>
      </c>
      <c r="F111" s="209">
        <v>11</v>
      </c>
      <c r="G111" s="209">
        <v>12</v>
      </c>
      <c r="H111" s="209">
        <v>9</v>
      </c>
      <c r="I111" s="209">
        <v>22</v>
      </c>
      <c r="J111" s="209">
        <v>15</v>
      </c>
      <c r="K111" s="345">
        <v>10</v>
      </c>
      <c r="L111" s="345">
        <v>13</v>
      </c>
      <c r="M111" s="209">
        <v>21</v>
      </c>
      <c r="N111" s="345">
        <v>14</v>
      </c>
      <c r="O111" s="209">
        <v>7</v>
      </c>
      <c r="P111" s="209">
        <v>20</v>
      </c>
      <c r="Q111" s="137">
        <f>SUM(D111:P111)</f>
        <v>201</v>
      </c>
      <c r="R111" s="137">
        <v>180</v>
      </c>
      <c r="S111" s="181">
        <v>186</v>
      </c>
    </row>
    <row r="112" spans="1:19" s="21" customFormat="1">
      <c r="A112" s="210">
        <v>30</v>
      </c>
      <c r="B112" s="211" t="s">
        <v>180</v>
      </c>
      <c r="C112" s="278"/>
      <c r="D112" s="272">
        <v>48107.4375</v>
      </c>
      <c r="E112" s="272">
        <v>53862.258064516129</v>
      </c>
      <c r="F112" s="272">
        <v>44162.545454545456</v>
      </c>
      <c r="G112" s="272">
        <v>50687.833333333336</v>
      </c>
      <c r="H112" s="272">
        <v>45759.555555555555</v>
      </c>
      <c r="I112" s="272">
        <v>58850.090909090912</v>
      </c>
      <c r="J112" s="272">
        <v>61785.4</v>
      </c>
      <c r="K112" s="352">
        <v>50902.5</v>
      </c>
      <c r="L112" s="352">
        <v>47592.461538461539</v>
      </c>
      <c r="M112" s="272">
        <v>47547.238095238092</v>
      </c>
      <c r="N112" s="352">
        <v>56376.642857142855</v>
      </c>
      <c r="O112" s="272">
        <v>51502.857142857145</v>
      </c>
      <c r="P112" s="288">
        <v>47700.55</v>
      </c>
      <c r="Q112" s="37">
        <v>51725.537313432833</v>
      </c>
      <c r="R112" s="37">
        <v>51630.87777777778</v>
      </c>
      <c r="S112" s="38">
        <v>45772.446236559139</v>
      </c>
    </row>
    <row r="113" spans="1:19" s="21" customFormat="1" ht="25.5">
      <c r="A113" s="252">
        <v>31</v>
      </c>
      <c r="B113" s="253" t="s">
        <v>118</v>
      </c>
      <c r="C113" s="292"/>
      <c r="D113" s="209">
        <v>26</v>
      </c>
      <c r="E113" s="209">
        <v>12</v>
      </c>
      <c r="F113" s="209">
        <v>11</v>
      </c>
      <c r="G113" s="209">
        <v>10</v>
      </c>
      <c r="H113" s="209">
        <v>13</v>
      </c>
      <c r="I113" s="209">
        <v>10</v>
      </c>
      <c r="J113" s="209">
        <v>18</v>
      </c>
      <c r="K113" s="345">
        <v>15</v>
      </c>
      <c r="L113" s="345">
        <v>15</v>
      </c>
      <c r="M113" s="209">
        <v>15</v>
      </c>
      <c r="N113" s="345">
        <v>5</v>
      </c>
      <c r="O113" s="209">
        <v>5</v>
      </c>
      <c r="P113" s="209">
        <v>15</v>
      </c>
      <c r="Q113" s="137">
        <f>SUM(D113:P113)</f>
        <v>170</v>
      </c>
      <c r="R113" s="137">
        <v>265</v>
      </c>
      <c r="S113" s="181">
        <v>244</v>
      </c>
    </row>
    <row r="114" spans="1:19" s="15" customFormat="1" ht="21" customHeight="1" thickBot="1">
      <c r="A114" s="296">
        <v>32</v>
      </c>
      <c r="B114" s="265" t="s">
        <v>179</v>
      </c>
      <c r="C114" s="275"/>
      <c r="D114" s="297">
        <v>40083.769230769234</v>
      </c>
      <c r="E114" s="297">
        <v>37971.083333333336</v>
      </c>
      <c r="F114" s="297">
        <v>37657.818181818184</v>
      </c>
      <c r="G114" s="297">
        <v>37764.199999999997</v>
      </c>
      <c r="H114" s="297">
        <v>41548.538461538461</v>
      </c>
      <c r="I114" s="297">
        <v>41035.300000000003</v>
      </c>
      <c r="J114" s="297">
        <v>44846.777777777781</v>
      </c>
      <c r="K114" s="371">
        <v>37065.533333333333</v>
      </c>
      <c r="L114" s="371">
        <v>37314.800000000003</v>
      </c>
      <c r="M114" s="297">
        <v>36854.800000000003</v>
      </c>
      <c r="N114" s="371">
        <v>37036</v>
      </c>
      <c r="O114" s="297">
        <v>35412</v>
      </c>
      <c r="P114" s="297">
        <v>37583.800000000003</v>
      </c>
      <c r="Q114" s="184">
        <v>39070.347058823529</v>
      </c>
      <c r="R114" s="184">
        <v>40612.490566037734</v>
      </c>
      <c r="S114" s="104">
        <v>41679.381147540982</v>
      </c>
    </row>
    <row r="115" spans="1:19" s="15" customFormat="1" ht="15" thickTop="1">
      <c r="A115" s="668" t="s">
        <v>120</v>
      </c>
      <c r="B115" s="669"/>
      <c r="C115" s="287"/>
      <c r="D115" s="209"/>
      <c r="E115" s="209"/>
      <c r="F115" s="209"/>
      <c r="G115" s="209"/>
      <c r="H115" s="209"/>
      <c r="I115" s="209"/>
      <c r="J115" s="209" t="s">
        <v>121</v>
      </c>
      <c r="K115" s="345"/>
      <c r="L115" s="345"/>
      <c r="M115" s="209"/>
      <c r="N115" s="345"/>
      <c r="O115" s="209"/>
      <c r="P115" s="209"/>
      <c r="Q115" s="13"/>
      <c r="R115" s="13"/>
      <c r="S115" s="178"/>
    </row>
    <row r="116" spans="1:19" s="21" customFormat="1">
      <c r="A116" s="210">
        <v>33</v>
      </c>
      <c r="B116" s="245" t="s">
        <v>122</v>
      </c>
      <c r="C116" s="298" t="s">
        <v>123</v>
      </c>
      <c r="D116" s="251"/>
      <c r="E116" s="251"/>
      <c r="F116" s="251"/>
      <c r="G116" s="251"/>
      <c r="H116" s="251"/>
      <c r="I116" s="251"/>
      <c r="J116" s="251"/>
      <c r="K116" s="358"/>
      <c r="L116" s="358"/>
      <c r="M116" s="251"/>
      <c r="N116" s="358"/>
      <c r="O116" s="251"/>
      <c r="P116" s="251"/>
      <c r="Q116" s="97"/>
      <c r="R116" s="97"/>
      <c r="S116" s="38"/>
    </row>
    <row r="117" spans="1:19" s="21" customFormat="1">
      <c r="A117" s="210"/>
      <c r="B117" s="211" t="s">
        <v>124</v>
      </c>
      <c r="C117" s="299">
        <v>1</v>
      </c>
      <c r="D117" s="251" t="s">
        <v>72</v>
      </c>
      <c r="E117" s="251" t="s">
        <v>72</v>
      </c>
      <c r="F117" s="251" t="s">
        <v>72</v>
      </c>
      <c r="G117" s="251" t="s">
        <v>72</v>
      </c>
      <c r="H117" s="251" t="s">
        <v>72</v>
      </c>
      <c r="I117" s="251" t="s">
        <v>72</v>
      </c>
      <c r="J117" s="251" t="s">
        <v>72</v>
      </c>
      <c r="K117" s="358" t="s">
        <v>72</v>
      </c>
      <c r="L117" s="358" t="s">
        <v>72</v>
      </c>
      <c r="M117" s="251" t="s">
        <v>72</v>
      </c>
      <c r="N117" s="358" t="s">
        <v>72</v>
      </c>
      <c r="O117" s="251" t="s">
        <v>72</v>
      </c>
      <c r="P117" s="251" t="s">
        <v>72</v>
      </c>
      <c r="Q117" s="97">
        <v>0.45</v>
      </c>
      <c r="R117" s="97">
        <v>0.45</v>
      </c>
      <c r="S117" s="98">
        <v>0.48</v>
      </c>
    </row>
    <row r="118" spans="1:19" s="21" customFormat="1">
      <c r="A118" s="210"/>
      <c r="B118" s="211" t="s">
        <v>125</v>
      </c>
      <c r="C118" s="299">
        <v>6.5</v>
      </c>
      <c r="D118" s="251" t="s">
        <v>72</v>
      </c>
      <c r="E118" s="251" t="s">
        <v>72</v>
      </c>
      <c r="F118" s="251" t="s">
        <v>72</v>
      </c>
      <c r="G118" s="251" t="s">
        <v>72</v>
      </c>
      <c r="H118" s="251" t="s">
        <v>72</v>
      </c>
      <c r="I118" s="251" t="s">
        <v>72</v>
      </c>
      <c r="J118" s="251" t="s">
        <v>72</v>
      </c>
      <c r="K118" s="358" t="s">
        <v>72</v>
      </c>
      <c r="L118" s="358" t="s">
        <v>72</v>
      </c>
      <c r="M118" s="251" t="s">
        <v>72</v>
      </c>
      <c r="N118" s="358" t="s">
        <v>72</v>
      </c>
      <c r="O118" s="251" t="s">
        <v>72</v>
      </c>
      <c r="P118" s="251" t="s">
        <v>72</v>
      </c>
      <c r="Q118" s="97">
        <v>4.8</v>
      </c>
      <c r="R118" s="97">
        <v>4.8600000000000003</v>
      </c>
      <c r="S118" s="98">
        <v>5</v>
      </c>
    </row>
    <row r="119" spans="1:19" s="21" customFormat="1">
      <c r="A119" s="210"/>
      <c r="B119" s="211" t="s">
        <v>126</v>
      </c>
      <c r="C119" s="300">
        <v>1.5</v>
      </c>
      <c r="D119" s="251"/>
      <c r="E119" s="251"/>
      <c r="F119" s="251"/>
      <c r="G119" s="251"/>
      <c r="H119" s="251"/>
      <c r="I119" s="251"/>
      <c r="J119" s="251"/>
      <c r="K119" s="358"/>
      <c r="L119" s="358"/>
      <c r="M119" s="251"/>
      <c r="N119" s="358"/>
      <c r="O119" s="251"/>
      <c r="P119" s="251"/>
      <c r="Q119" s="97">
        <v>0.94</v>
      </c>
      <c r="R119" s="97">
        <v>0.96</v>
      </c>
      <c r="S119" s="98">
        <v>0.93</v>
      </c>
    </row>
    <row r="120" spans="1:19" s="21" customFormat="1" ht="15">
      <c r="A120" s="252"/>
      <c r="B120" s="245" t="s">
        <v>127</v>
      </c>
      <c r="C120" s="301">
        <f>SUM(C117:C119)</f>
        <v>9</v>
      </c>
      <c r="D120" s="251" t="s">
        <v>72</v>
      </c>
      <c r="E120" s="251" t="s">
        <v>72</v>
      </c>
      <c r="F120" s="251" t="s">
        <v>72</v>
      </c>
      <c r="G120" s="251" t="s">
        <v>72</v>
      </c>
      <c r="H120" s="251" t="s">
        <v>72</v>
      </c>
      <c r="I120" s="251" t="s">
        <v>72</v>
      </c>
      <c r="J120" s="251" t="s">
        <v>72</v>
      </c>
      <c r="K120" s="358" t="s">
        <v>72</v>
      </c>
      <c r="L120" s="358" t="s">
        <v>72</v>
      </c>
      <c r="M120" s="251" t="s">
        <v>72</v>
      </c>
      <c r="N120" s="358" t="s">
        <v>72</v>
      </c>
      <c r="O120" s="251" t="s">
        <v>72</v>
      </c>
      <c r="P120" s="251" t="s">
        <v>72</v>
      </c>
      <c r="Q120" s="97">
        <f>SUM(Q117:Q119)</f>
        <v>6.1899999999999995</v>
      </c>
      <c r="R120" s="97">
        <v>6.2700000000000005</v>
      </c>
      <c r="S120" s="98">
        <v>6.41</v>
      </c>
    </row>
    <row r="121" spans="1:19" s="21" customFormat="1" ht="38.25">
      <c r="A121" s="217">
        <v>34</v>
      </c>
      <c r="B121" s="207" t="s">
        <v>128</v>
      </c>
      <c r="C121" s="287"/>
      <c r="D121" s="228" t="s">
        <v>72</v>
      </c>
      <c r="E121" s="228" t="s">
        <v>72</v>
      </c>
      <c r="F121" s="228" t="s">
        <v>72</v>
      </c>
      <c r="G121" s="228" t="s">
        <v>72</v>
      </c>
      <c r="H121" s="228" t="s">
        <v>72</v>
      </c>
      <c r="I121" s="228" t="s">
        <v>72</v>
      </c>
      <c r="J121" s="228" t="s">
        <v>72</v>
      </c>
      <c r="K121" s="356" t="s">
        <v>72</v>
      </c>
      <c r="L121" s="356" t="s">
        <v>72</v>
      </c>
      <c r="M121" s="228" t="s">
        <v>72</v>
      </c>
      <c r="N121" s="356" t="s">
        <v>72</v>
      </c>
      <c r="O121" s="228" t="s">
        <v>72</v>
      </c>
      <c r="P121" s="228" t="s">
        <v>72</v>
      </c>
      <c r="Q121" s="145">
        <v>1074.55</v>
      </c>
      <c r="R121" s="145">
        <v>1073.0899999999999</v>
      </c>
      <c r="S121" s="140">
        <v>1030.9000000000001</v>
      </c>
    </row>
    <row r="122" spans="1:19" s="21" customFormat="1" ht="25.5">
      <c r="A122" s="223">
        <v>35</v>
      </c>
      <c r="B122" s="224" t="s">
        <v>129</v>
      </c>
      <c r="C122" s="302">
        <v>53</v>
      </c>
      <c r="D122" s="209">
        <v>397</v>
      </c>
      <c r="E122" s="209">
        <v>696</v>
      </c>
      <c r="F122" s="209">
        <v>150</v>
      </c>
      <c r="G122" s="209">
        <v>89</v>
      </c>
      <c r="H122" s="209">
        <v>140</v>
      </c>
      <c r="I122" s="209">
        <v>42</v>
      </c>
      <c r="J122" s="209">
        <v>169</v>
      </c>
      <c r="K122" s="345">
        <v>54</v>
      </c>
      <c r="L122" s="345">
        <v>39</v>
      </c>
      <c r="M122" s="209">
        <v>108</v>
      </c>
      <c r="N122" s="345">
        <v>88</v>
      </c>
      <c r="O122" s="209">
        <v>45</v>
      </c>
      <c r="P122" s="209">
        <v>56</v>
      </c>
      <c r="Q122" s="137">
        <f>SUM(C122:P122)</f>
        <v>2126</v>
      </c>
      <c r="R122" s="137">
        <v>1335</v>
      </c>
      <c r="S122" s="343">
        <v>1651</v>
      </c>
    </row>
    <row r="123" spans="1:19" s="21" customFormat="1" ht="38.25">
      <c r="A123" s="256">
        <v>36</v>
      </c>
      <c r="B123" s="257" t="s">
        <v>130</v>
      </c>
      <c r="C123" s="303"/>
      <c r="D123" s="304" t="s">
        <v>72</v>
      </c>
      <c r="E123" s="304" t="s">
        <v>72</v>
      </c>
      <c r="F123" s="304" t="s">
        <v>72</v>
      </c>
      <c r="G123" s="304" t="s">
        <v>72</v>
      </c>
      <c r="H123" s="304" t="s">
        <v>72</v>
      </c>
      <c r="I123" s="304" t="s">
        <v>72</v>
      </c>
      <c r="J123" s="304" t="s">
        <v>72</v>
      </c>
      <c r="K123" s="372" t="s">
        <v>72</v>
      </c>
      <c r="L123" s="372" t="s">
        <v>72</v>
      </c>
      <c r="M123" s="304" t="s">
        <v>72</v>
      </c>
      <c r="N123" s="372" t="s">
        <v>72</v>
      </c>
      <c r="O123" s="304" t="s">
        <v>72</v>
      </c>
      <c r="P123" s="304" t="s">
        <v>72</v>
      </c>
      <c r="Q123" s="113">
        <v>1418</v>
      </c>
      <c r="R123" s="113">
        <v>1431</v>
      </c>
      <c r="S123" s="182">
        <v>2470</v>
      </c>
    </row>
    <row r="124" spans="1:19" s="21" customFormat="1">
      <c r="A124" s="217">
        <v>37</v>
      </c>
      <c r="B124" s="207" t="s">
        <v>131</v>
      </c>
      <c r="C124" s="218"/>
      <c r="D124" s="228" t="s">
        <v>72</v>
      </c>
      <c r="E124" s="228" t="s">
        <v>72</v>
      </c>
      <c r="F124" s="228" t="s">
        <v>72</v>
      </c>
      <c r="G124" s="228" t="s">
        <v>72</v>
      </c>
      <c r="H124" s="228" t="s">
        <v>72</v>
      </c>
      <c r="I124" s="228" t="s">
        <v>72</v>
      </c>
      <c r="J124" s="228" t="s">
        <v>72</v>
      </c>
      <c r="K124" s="356" t="s">
        <v>72</v>
      </c>
      <c r="L124" s="356" t="s">
        <v>72</v>
      </c>
      <c r="M124" s="228" t="s">
        <v>72</v>
      </c>
      <c r="N124" s="356" t="s">
        <v>72</v>
      </c>
      <c r="O124" s="228" t="s">
        <v>72</v>
      </c>
      <c r="P124" s="228" t="s">
        <v>72</v>
      </c>
      <c r="Q124" s="44">
        <v>311</v>
      </c>
      <c r="R124" s="44">
        <v>310</v>
      </c>
      <c r="S124" s="14">
        <v>317</v>
      </c>
    </row>
    <row r="125" spans="1:19" s="15" customFormat="1">
      <c r="A125" s="232"/>
      <c r="B125" s="224" t="s">
        <v>132</v>
      </c>
      <c r="C125" s="234"/>
      <c r="D125" s="273" t="s">
        <v>72</v>
      </c>
      <c r="E125" s="273" t="s">
        <v>72</v>
      </c>
      <c r="F125" s="273" t="s">
        <v>72</v>
      </c>
      <c r="G125" s="273" t="s">
        <v>72</v>
      </c>
      <c r="H125" s="273" t="s">
        <v>72</v>
      </c>
      <c r="I125" s="273" t="s">
        <v>72</v>
      </c>
      <c r="J125" s="273" t="s">
        <v>72</v>
      </c>
      <c r="K125" s="302" t="s">
        <v>72</v>
      </c>
      <c r="L125" s="302" t="s">
        <v>72</v>
      </c>
      <c r="M125" s="273" t="s">
        <v>72</v>
      </c>
      <c r="N125" s="302" t="s">
        <v>72</v>
      </c>
      <c r="O125" s="273" t="s">
        <v>72</v>
      </c>
      <c r="P125" s="273" t="s">
        <v>72</v>
      </c>
      <c r="Q125" s="42">
        <v>21.48</v>
      </c>
      <c r="R125" s="42">
        <v>21.55</v>
      </c>
      <c r="S125" s="43">
        <v>21.82</v>
      </c>
    </row>
    <row r="126" spans="1:19" s="15" customFormat="1" ht="20.100000000000001" customHeight="1">
      <c r="A126" s="206">
        <v>38</v>
      </c>
      <c r="B126" s="207" t="s">
        <v>133</v>
      </c>
      <c r="C126" s="220"/>
      <c r="D126" s="209" t="s">
        <v>72</v>
      </c>
      <c r="E126" s="209" t="s">
        <v>72</v>
      </c>
      <c r="F126" s="209" t="s">
        <v>72</v>
      </c>
      <c r="G126" s="209" t="s">
        <v>72</v>
      </c>
      <c r="H126" s="209" t="s">
        <v>72</v>
      </c>
      <c r="I126" s="209" t="s">
        <v>72</v>
      </c>
      <c r="J126" s="209" t="s">
        <v>72</v>
      </c>
      <c r="K126" s="345" t="s">
        <v>72</v>
      </c>
      <c r="L126" s="345" t="s">
        <v>72</v>
      </c>
      <c r="M126" s="209" t="s">
        <v>72</v>
      </c>
      <c r="N126" s="345" t="s">
        <v>72</v>
      </c>
      <c r="O126" s="209" t="s">
        <v>72</v>
      </c>
      <c r="P126" s="209" t="s">
        <v>72</v>
      </c>
      <c r="Q126" s="36">
        <v>408382114</v>
      </c>
      <c r="R126" s="36">
        <v>437747866</v>
      </c>
      <c r="S126" s="49">
        <v>416283235</v>
      </c>
    </row>
    <row r="127" spans="1:19" s="21" customFormat="1" ht="20.100000000000001" customHeight="1">
      <c r="A127" s="210"/>
      <c r="B127" s="211" t="s">
        <v>134</v>
      </c>
      <c r="C127" s="212"/>
      <c r="D127" s="251" t="s">
        <v>72</v>
      </c>
      <c r="E127" s="251" t="s">
        <v>72</v>
      </c>
      <c r="F127" s="251" t="s">
        <v>72</v>
      </c>
      <c r="G127" s="251" t="s">
        <v>72</v>
      </c>
      <c r="H127" s="251" t="s">
        <v>72</v>
      </c>
      <c r="I127" s="251" t="s">
        <v>72</v>
      </c>
      <c r="J127" s="251" t="s">
        <v>72</v>
      </c>
      <c r="K127" s="358" t="s">
        <v>72</v>
      </c>
      <c r="L127" s="358" t="s">
        <v>72</v>
      </c>
      <c r="M127" s="251" t="s">
        <v>72</v>
      </c>
      <c r="N127" s="358" t="s">
        <v>72</v>
      </c>
      <c r="O127" s="251" t="s">
        <v>72</v>
      </c>
      <c r="P127" s="251" t="s">
        <v>72</v>
      </c>
      <c r="Q127" s="37">
        <f>Q126/31</f>
        <v>13173616.580645161</v>
      </c>
      <c r="R127" s="37">
        <v>14591595.533333333</v>
      </c>
      <c r="S127" s="38">
        <v>13428491.451612903</v>
      </c>
    </row>
    <row r="128" spans="1:19" s="15" customFormat="1" ht="20.100000000000001" customHeight="1">
      <c r="A128" s="261"/>
      <c r="B128" s="211" t="s">
        <v>135</v>
      </c>
      <c r="C128" s="262"/>
      <c r="D128" s="230" t="s">
        <v>72</v>
      </c>
      <c r="E128" s="230" t="s">
        <v>72</v>
      </c>
      <c r="F128" s="230" t="s">
        <v>72</v>
      </c>
      <c r="G128" s="230" t="s">
        <v>72</v>
      </c>
      <c r="H128" s="230" t="s">
        <v>72</v>
      </c>
      <c r="I128" s="230" t="s">
        <v>72</v>
      </c>
      <c r="J128" s="230" t="s">
        <v>72</v>
      </c>
      <c r="K128" s="350" t="s">
        <v>72</v>
      </c>
      <c r="L128" s="350" t="s">
        <v>72</v>
      </c>
      <c r="M128" s="230" t="s">
        <v>72</v>
      </c>
      <c r="N128" s="350" t="s">
        <v>72</v>
      </c>
      <c r="O128" s="230" t="s">
        <v>72</v>
      </c>
      <c r="P128" s="230" t="s">
        <v>72</v>
      </c>
      <c r="Q128" s="90">
        <f>SUM(Q127/Q130)</f>
        <v>13.198966259779832</v>
      </c>
      <c r="R128" s="90">
        <v>13.110136948065037</v>
      </c>
      <c r="S128" s="91">
        <v>13.09581837737251</v>
      </c>
    </row>
    <row r="129" spans="1:19" s="21" customFormat="1" ht="20.100000000000001" customHeight="1">
      <c r="A129" s="252"/>
      <c r="B129" s="253" t="s">
        <v>136</v>
      </c>
      <c r="C129" s="225"/>
      <c r="D129" s="209">
        <v>43.54</v>
      </c>
      <c r="E129" s="209">
        <v>44.14</v>
      </c>
      <c r="F129" s="209">
        <v>49.68</v>
      </c>
      <c r="G129" s="209">
        <v>51.73</v>
      </c>
      <c r="H129" s="209">
        <v>45.37</v>
      </c>
      <c r="I129" s="209">
        <v>51.13</v>
      </c>
      <c r="J129" s="209">
        <v>48.48</v>
      </c>
      <c r="K129" s="345">
        <v>40.130000000000003</v>
      </c>
      <c r="L129" s="365">
        <v>43.5</v>
      </c>
      <c r="M129" s="209">
        <v>38.520000000000003</v>
      </c>
      <c r="N129" s="365">
        <v>53</v>
      </c>
      <c r="O129" s="209">
        <v>45.42</v>
      </c>
      <c r="P129" s="209">
        <v>50.86</v>
      </c>
      <c r="Q129" s="107">
        <f>Q126/Q34</f>
        <v>45.79824875706251</v>
      </c>
      <c r="R129" s="107">
        <v>50.429115096333042</v>
      </c>
      <c r="S129" s="108">
        <v>47.177907995407814</v>
      </c>
    </row>
    <row r="130" spans="1:19" s="21" customFormat="1" ht="63.75">
      <c r="A130" s="256">
        <v>39</v>
      </c>
      <c r="B130" s="257" t="s">
        <v>137</v>
      </c>
      <c r="C130" s="303"/>
      <c r="D130" s="304" t="s">
        <v>72</v>
      </c>
      <c r="E130" s="304"/>
      <c r="F130" s="304" t="s">
        <v>72</v>
      </c>
      <c r="G130" s="304" t="s">
        <v>72</v>
      </c>
      <c r="H130" s="304" t="s">
        <v>72</v>
      </c>
      <c r="I130" s="304" t="s">
        <v>72</v>
      </c>
      <c r="J130" s="304" t="s">
        <v>72</v>
      </c>
      <c r="K130" s="372" t="s">
        <v>72</v>
      </c>
      <c r="L130" s="372" t="s">
        <v>72</v>
      </c>
      <c r="M130" s="304" t="s">
        <v>72</v>
      </c>
      <c r="N130" s="372" t="s">
        <v>121</v>
      </c>
      <c r="O130" s="304" t="s">
        <v>72</v>
      </c>
      <c r="P130" s="304" t="s">
        <v>72</v>
      </c>
      <c r="Q130" s="45">
        <v>998079.41935483867</v>
      </c>
      <c r="R130" s="45">
        <v>1113001</v>
      </c>
      <c r="S130" s="46">
        <v>1025403</v>
      </c>
    </row>
    <row r="131" spans="1:19" s="21" customFormat="1" ht="38.25">
      <c r="A131" s="210"/>
      <c r="B131" s="211" t="s">
        <v>138</v>
      </c>
      <c r="C131" s="262"/>
      <c r="D131" s="251" t="s">
        <v>72</v>
      </c>
      <c r="E131" s="251" t="s">
        <v>72</v>
      </c>
      <c r="F131" s="251" t="s">
        <v>72</v>
      </c>
      <c r="G131" s="251" t="s">
        <v>72</v>
      </c>
      <c r="H131" s="251" t="s">
        <v>72</v>
      </c>
      <c r="I131" s="251" t="s">
        <v>72</v>
      </c>
      <c r="J131" s="251" t="s">
        <v>72</v>
      </c>
      <c r="K131" s="358" t="s">
        <v>72</v>
      </c>
      <c r="L131" s="358" t="s">
        <v>72</v>
      </c>
      <c r="M131" s="251" t="s">
        <v>72</v>
      </c>
      <c r="N131" s="358" t="s">
        <v>72</v>
      </c>
      <c r="O131" s="251" t="s">
        <v>72</v>
      </c>
      <c r="P131" s="251" t="s">
        <v>72</v>
      </c>
      <c r="Q131" s="37">
        <f>SUM(Q130-Q65)</f>
        <v>222974.38709677418</v>
      </c>
      <c r="R131" s="37">
        <v>288640.30000000005</v>
      </c>
      <c r="S131" s="38">
        <v>237177.19354838715</v>
      </c>
    </row>
    <row r="132" spans="1:19" s="21" customFormat="1" ht="25.5">
      <c r="A132" s="210"/>
      <c r="B132" s="211" t="s">
        <v>139</v>
      </c>
      <c r="C132" s="262"/>
      <c r="D132" s="251" t="s">
        <v>72</v>
      </c>
      <c r="E132" s="251" t="s">
        <v>72</v>
      </c>
      <c r="F132" s="251" t="s">
        <v>72</v>
      </c>
      <c r="G132" s="251" t="s">
        <v>72</v>
      </c>
      <c r="H132" s="251" t="s">
        <v>72</v>
      </c>
      <c r="I132" s="251" t="s">
        <v>72</v>
      </c>
      <c r="J132" s="251" t="s">
        <v>72</v>
      </c>
      <c r="K132" s="358" t="s">
        <v>72</v>
      </c>
      <c r="L132" s="358" t="s">
        <v>72</v>
      </c>
      <c r="M132" s="251" t="s">
        <v>72</v>
      </c>
      <c r="N132" s="358" t="s">
        <v>72</v>
      </c>
      <c r="O132" s="251" t="s">
        <v>72</v>
      </c>
      <c r="P132" s="251" t="s">
        <v>72</v>
      </c>
      <c r="Q132" s="97">
        <f>SUM(Q131/Q130)*100</f>
        <v>22.340345144167532</v>
      </c>
      <c r="R132" s="97">
        <v>25.933516681476483</v>
      </c>
      <c r="S132" s="98">
        <v>23.130144299205984</v>
      </c>
    </row>
    <row r="133" spans="1:19" s="15" customFormat="1" ht="25.5">
      <c r="A133" s="261"/>
      <c r="B133" s="211" t="s">
        <v>140</v>
      </c>
      <c r="C133" s="262"/>
      <c r="D133" s="251" t="s">
        <v>72</v>
      </c>
      <c r="E133" s="251" t="s">
        <v>72</v>
      </c>
      <c r="F133" s="251" t="s">
        <v>72</v>
      </c>
      <c r="G133" s="251" t="s">
        <v>72</v>
      </c>
      <c r="H133" s="251" t="s">
        <v>72</v>
      </c>
      <c r="I133" s="251" t="s">
        <v>72</v>
      </c>
      <c r="J133" s="251" t="s">
        <v>72</v>
      </c>
      <c r="K133" s="358" t="s">
        <v>72</v>
      </c>
      <c r="L133" s="358" t="s">
        <v>72</v>
      </c>
      <c r="M133" s="251" t="s">
        <v>72</v>
      </c>
      <c r="N133" s="358" t="s">
        <v>72</v>
      </c>
      <c r="O133" s="251" t="s">
        <v>72</v>
      </c>
      <c r="P133" s="251" t="s">
        <v>72</v>
      </c>
      <c r="Q133" s="90">
        <f>Q130/1422</f>
        <v>701.88426114967558</v>
      </c>
      <c r="R133" s="90">
        <v>791.60810810810813</v>
      </c>
      <c r="S133" s="91">
        <v>735.05591397849457</v>
      </c>
    </row>
    <row r="134" spans="1:19" s="15" customFormat="1" ht="26.25" thickBot="1">
      <c r="A134" s="296"/>
      <c r="B134" s="265" t="s">
        <v>141</v>
      </c>
      <c r="C134" s="305"/>
      <c r="D134" s="276" t="s">
        <v>72</v>
      </c>
      <c r="E134" s="276" t="s">
        <v>72</v>
      </c>
      <c r="F134" s="276" t="s">
        <v>72</v>
      </c>
      <c r="G134" s="276" t="s">
        <v>72</v>
      </c>
      <c r="H134" s="276" t="s">
        <v>72</v>
      </c>
      <c r="I134" s="276" t="s">
        <v>72</v>
      </c>
      <c r="J134" s="276" t="s">
        <v>72</v>
      </c>
      <c r="K134" s="366" t="s">
        <v>72</v>
      </c>
      <c r="L134" s="366" t="s">
        <v>72</v>
      </c>
      <c r="M134" s="276" t="s">
        <v>72</v>
      </c>
      <c r="N134" s="366" t="s">
        <v>72</v>
      </c>
      <c r="O134" s="276" t="s">
        <v>72</v>
      </c>
      <c r="P134" s="276" t="s">
        <v>72</v>
      </c>
      <c r="Q134" s="151">
        <f>Q127/1422</f>
        <v>9264.1466811850642</v>
      </c>
      <c r="R134" s="151">
        <v>10378.09070649597</v>
      </c>
      <c r="S134" s="152">
        <v>9626.1587466759156</v>
      </c>
    </row>
    <row r="135" spans="1:19" ht="13.5" thickTop="1">
      <c r="A135" s="153"/>
      <c r="B135" s="154"/>
      <c r="C135" s="155"/>
      <c r="D135" s="155"/>
      <c r="E135" s="155"/>
      <c r="F135" s="155"/>
      <c r="G135" s="155"/>
      <c r="H135" s="155"/>
      <c r="I135" s="155"/>
      <c r="J135" s="155"/>
      <c r="K135" s="373"/>
      <c r="L135" s="373"/>
      <c r="M135" s="155"/>
      <c r="N135" s="373"/>
      <c r="O135" s="155"/>
      <c r="P135" s="155"/>
      <c r="Q135" s="155"/>
      <c r="S135" s="31"/>
    </row>
    <row r="136" spans="1:19" ht="12.75">
      <c r="A136" s="153"/>
      <c r="B136" s="154"/>
      <c r="C136" s="155"/>
      <c r="D136" s="155">
        <f>D129*D34</f>
        <v>31041843</v>
      </c>
      <c r="E136" s="155">
        <f t="shared" ref="E136:Q136" si="40">E129*E34</f>
        <v>50385192.039999999</v>
      </c>
      <c r="F136" s="155">
        <f t="shared" si="40"/>
        <v>35088387.839999996</v>
      </c>
      <c r="G136" s="155">
        <f t="shared" si="40"/>
        <v>52742407.829999998</v>
      </c>
      <c r="H136" s="155">
        <f t="shared" si="40"/>
        <v>33208571.499999996</v>
      </c>
      <c r="I136" s="155">
        <f t="shared" si="40"/>
        <v>19699213.010000002</v>
      </c>
      <c r="J136" s="155">
        <f t="shared" si="40"/>
        <v>30084603.359999999</v>
      </c>
      <c r="K136" s="155">
        <f t="shared" si="40"/>
        <v>42374430.770000003</v>
      </c>
      <c r="L136" s="155">
        <f t="shared" si="40"/>
        <v>31947444</v>
      </c>
      <c r="M136" s="155">
        <f t="shared" si="40"/>
        <v>28518359.040000003</v>
      </c>
      <c r="N136" s="155">
        <f t="shared" si="40"/>
        <v>25146009</v>
      </c>
      <c r="O136" s="155">
        <f t="shared" si="40"/>
        <v>17124021.300000001</v>
      </c>
      <c r="P136" s="155">
        <f t="shared" si="40"/>
        <v>11022836.939999999</v>
      </c>
      <c r="Q136" s="155">
        <f t="shared" si="40"/>
        <v>408382114</v>
      </c>
      <c r="S136" s="31"/>
    </row>
    <row r="137" spans="1:19" ht="12.75">
      <c r="A137" s="153"/>
      <c r="B137" s="154"/>
      <c r="C137" s="155"/>
      <c r="D137" s="155"/>
      <c r="E137" s="155"/>
      <c r="F137" s="155"/>
      <c r="G137" s="155"/>
      <c r="H137" s="155"/>
      <c r="I137" s="155"/>
      <c r="J137" s="155"/>
      <c r="K137" s="373"/>
      <c r="L137" s="373"/>
      <c r="M137" s="155"/>
      <c r="N137" s="373"/>
      <c r="O137" s="155"/>
      <c r="P137" s="155"/>
      <c r="Q137" s="155"/>
      <c r="S137" s="31"/>
    </row>
    <row r="138" spans="1:19">
      <c r="A138" s="156"/>
      <c r="B138" s="157"/>
      <c r="C138" s="156"/>
      <c r="D138" s="156"/>
      <c r="E138" s="156"/>
      <c r="F138" s="156"/>
      <c r="G138" s="156"/>
      <c r="H138" s="156"/>
      <c r="I138" s="156"/>
      <c r="J138" s="156"/>
      <c r="K138" s="374"/>
      <c r="L138" s="376"/>
      <c r="M138" s="31"/>
      <c r="N138" s="373"/>
      <c r="O138" s="155"/>
      <c r="P138" s="155"/>
      <c r="Q138" s="158"/>
      <c r="R138" s="159"/>
      <c r="S138" s="31"/>
    </row>
    <row r="139" spans="1:19">
      <c r="A139" s="156"/>
      <c r="B139" s="157"/>
      <c r="C139" s="156"/>
      <c r="D139" s="156"/>
      <c r="E139" s="156"/>
      <c r="F139" s="156"/>
      <c r="G139" s="156"/>
      <c r="H139" s="156"/>
      <c r="I139" s="156"/>
      <c r="J139" s="156"/>
      <c r="K139" s="374"/>
      <c r="L139" s="376"/>
      <c r="M139" s="31"/>
      <c r="N139" s="373"/>
      <c r="O139" s="155"/>
      <c r="P139" s="155"/>
      <c r="Q139" s="158"/>
      <c r="R139" s="159"/>
      <c r="S139" s="31"/>
    </row>
    <row r="140" spans="1:19">
      <c r="A140" s="156"/>
      <c r="B140" s="157"/>
      <c r="C140" s="156"/>
      <c r="D140" s="156"/>
      <c r="E140" s="156"/>
      <c r="F140" s="156"/>
      <c r="G140" s="156"/>
      <c r="H140" s="156"/>
      <c r="I140" s="156"/>
      <c r="J140" s="156"/>
      <c r="K140" s="374"/>
      <c r="L140" s="376"/>
      <c r="M140" s="31"/>
      <c r="N140" s="373"/>
      <c r="O140" s="155"/>
      <c r="P140" s="155"/>
      <c r="Q140" s="155"/>
      <c r="R140" s="159"/>
      <c r="S140" s="31"/>
    </row>
    <row r="141" spans="1:19" s="161" customFormat="1" ht="16.5">
      <c r="A141" s="660" t="s">
        <v>142</v>
      </c>
      <c r="B141" s="660"/>
      <c r="C141" s="160"/>
      <c r="D141" s="160"/>
      <c r="E141" s="160"/>
      <c r="F141" s="160"/>
      <c r="G141" s="160"/>
      <c r="I141" s="162"/>
      <c r="J141" s="162"/>
      <c r="K141" s="375"/>
      <c r="L141" s="375"/>
      <c r="M141" s="661" t="s">
        <v>143</v>
      </c>
      <c r="N141" s="661"/>
      <c r="O141" s="661"/>
      <c r="P141" s="661"/>
      <c r="Q141" s="661"/>
      <c r="R141" s="661"/>
      <c r="S141" s="163"/>
    </row>
    <row r="142" spans="1:19" s="161" customFormat="1" ht="16.5">
      <c r="A142" s="660" t="s">
        <v>196</v>
      </c>
      <c r="B142" s="660"/>
      <c r="C142" s="160"/>
      <c r="D142" s="160"/>
      <c r="E142" s="160"/>
      <c r="F142" s="160"/>
      <c r="G142" s="160"/>
      <c r="I142" s="162"/>
      <c r="J142" s="162"/>
      <c r="K142" s="375"/>
      <c r="L142" s="375"/>
      <c r="M142" s="661" t="s">
        <v>144</v>
      </c>
      <c r="N142" s="661"/>
      <c r="O142" s="661"/>
      <c r="P142" s="661"/>
      <c r="Q142" s="661"/>
      <c r="R142" s="661"/>
    </row>
    <row r="143" spans="1:19">
      <c r="A143" s="31"/>
      <c r="B143" s="154"/>
      <c r="C143" s="31"/>
      <c r="D143" s="31"/>
      <c r="E143" s="31"/>
      <c r="F143" s="31"/>
      <c r="G143" s="31"/>
      <c r="H143" s="31"/>
      <c r="I143" s="31"/>
      <c r="J143" s="31"/>
      <c r="K143" s="376"/>
      <c r="L143" s="376"/>
      <c r="M143" s="31"/>
      <c r="N143" s="376"/>
      <c r="O143" s="31"/>
      <c r="P143" s="31"/>
      <c r="R143" s="164"/>
    </row>
    <row r="144" spans="1:19">
      <c r="A144" s="31"/>
      <c r="B144" s="154"/>
      <c r="C144" s="31"/>
      <c r="D144" s="31"/>
      <c r="E144" s="31"/>
      <c r="F144" s="31"/>
      <c r="G144" s="31"/>
      <c r="H144" s="31"/>
      <c r="I144" s="31"/>
      <c r="J144" s="31"/>
      <c r="K144" s="376"/>
      <c r="L144" s="376"/>
      <c r="M144" s="31"/>
      <c r="N144" s="376"/>
      <c r="O144" s="31"/>
      <c r="P144" s="31"/>
    </row>
    <row r="152" spans="4:17">
      <c r="D152" s="410" t="e">
        <f>D131*D36</f>
        <v>#VALUE!</v>
      </c>
      <c r="E152" s="410" t="e">
        <f t="shared" ref="E152:N152" si="41">E131*E36</f>
        <v>#VALUE!</v>
      </c>
      <c r="F152" s="410" t="e">
        <f t="shared" si="41"/>
        <v>#VALUE!</v>
      </c>
      <c r="G152" s="410" t="e">
        <f t="shared" si="41"/>
        <v>#VALUE!</v>
      </c>
      <c r="H152" s="410" t="e">
        <f t="shared" si="41"/>
        <v>#VALUE!</v>
      </c>
      <c r="I152" s="410" t="e">
        <f t="shared" si="41"/>
        <v>#VALUE!</v>
      </c>
      <c r="J152" s="410" t="e">
        <f t="shared" si="41"/>
        <v>#VALUE!</v>
      </c>
      <c r="K152" s="410" t="e">
        <f t="shared" si="41"/>
        <v>#VALUE!</v>
      </c>
      <c r="L152" s="410" t="e">
        <f t="shared" si="41"/>
        <v>#VALUE!</v>
      </c>
      <c r="M152" s="410" t="e">
        <f t="shared" si="41"/>
        <v>#VALUE!</v>
      </c>
      <c r="N152" s="410" t="e">
        <f t="shared" si="41"/>
        <v>#VALUE!</v>
      </c>
      <c r="O152" s="410" t="e">
        <f>O131*O36</f>
        <v>#VALUE!</v>
      </c>
      <c r="P152" s="410" t="e">
        <f>P131*P36</f>
        <v>#VALUE!</v>
      </c>
      <c r="Q152" s="410">
        <f>Q131*Q36</f>
        <v>45099029.708155125</v>
      </c>
    </row>
  </sheetData>
  <mergeCells count="8">
    <mergeCell ref="A142:B142"/>
    <mergeCell ref="M142:R142"/>
    <mergeCell ref="A1:S1"/>
    <mergeCell ref="A2:S2"/>
    <mergeCell ref="A3:S3"/>
    <mergeCell ref="A115:B115"/>
    <mergeCell ref="A141:B141"/>
    <mergeCell ref="M141:R141"/>
  </mergeCells>
  <pageMargins left="0.82" right="0.15748031496062992" top="0.74803149606299213" bottom="0.7" header="0.31496062992125984" footer="0.21"/>
  <pageSetup paperSize="5" scale="80" orientation="landscape" verticalDpi="0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46"/>
  <sheetViews>
    <sheetView topLeftCell="A25" zoomScale="85" zoomScaleNormal="85" workbookViewId="0">
      <selection activeCell="Y47" sqref="Y47"/>
    </sheetView>
  </sheetViews>
  <sheetFormatPr defaultRowHeight="14.25"/>
  <cols>
    <col min="1" max="1" width="3.7109375" style="377" customWidth="1"/>
    <col min="2" max="2" width="27.28515625" style="581" customWidth="1"/>
    <col min="3" max="3" width="7.140625" style="377" customWidth="1"/>
    <col min="4" max="8" width="10.140625" style="377" customWidth="1"/>
    <col min="9" max="9" width="10.5703125" style="377" customWidth="1"/>
    <col min="10" max="15" width="10.140625" style="377" customWidth="1"/>
    <col min="16" max="16" width="11.140625" style="377" customWidth="1"/>
    <col min="17" max="17" width="11.5703125" style="376" customWidth="1"/>
    <col min="18" max="18" width="11.85546875" style="376" bestFit="1" customWidth="1"/>
    <col min="19" max="19" width="11.42578125" style="579" customWidth="1"/>
    <col min="20" max="20" width="9.140625" style="376" customWidth="1"/>
    <col min="21" max="249" width="9.140625" style="376"/>
    <col min="250" max="250" width="3.7109375" style="376" customWidth="1"/>
    <col min="251" max="251" width="30.42578125" style="376" customWidth="1"/>
    <col min="252" max="252" width="7.140625" style="376" customWidth="1"/>
    <col min="253" max="253" width="10.7109375" style="376" customWidth="1"/>
    <col min="254" max="254" width="10.42578125" style="376" customWidth="1"/>
    <col min="255" max="255" width="10.5703125" style="376" customWidth="1"/>
    <col min="256" max="256" width="10.42578125" style="376" customWidth="1"/>
    <col min="257" max="259" width="10.5703125" style="376" customWidth="1"/>
    <col min="260" max="262" width="10.42578125" style="376" customWidth="1"/>
    <col min="263" max="263" width="10.5703125" style="376" customWidth="1"/>
    <col min="264" max="264" width="10.28515625" style="376" customWidth="1"/>
    <col min="265" max="265" width="10.140625" style="376" customWidth="1"/>
    <col min="266" max="266" width="11.7109375" style="376" customWidth="1"/>
    <col min="267" max="267" width="12.42578125" style="376" customWidth="1"/>
    <col min="268" max="268" width="11.7109375" style="376" customWidth="1"/>
    <col min="269" max="269" width="13.140625" style="376" customWidth="1"/>
    <col min="270" max="505" width="9.140625" style="376"/>
    <col min="506" max="506" width="3.7109375" style="376" customWidth="1"/>
    <col min="507" max="507" width="30.42578125" style="376" customWidth="1"/>
    <col min="508" max="508" width="7.140625" style="376" customWidth="1"/>
    <col min="509" max="509" width="10.7109375" style="376" customWidth="1"/>
    <col min="510" max="510" width="10.42578125" style="376" customWidth="1"/>
    <col min="511" max="511" width="10.5703125" style="376" customWidth="1"/>
    <col min="512" max="512" width="10.42578125" style="376" customWidth="1"/>
    <col min="513" max="515" width="10.5703125" style="376" customWidth="1"/>
    <col min="516" max="518" width="10.42578125" style="376" customWidth="1"/>
    <col min="519" max="519" width="10.5703125" style="376" customWidth="1"/>
    <col min="520" max="520" width="10.28515625" style="376" customWidth="1"/>
    <col min="521" max="521" width="10.140625" style="376" customWidth="1"/>
    <col min="522" max="522" width="11.7109375" style="376" customWidth="1"/>
    <col min="523" max="523" width="12.42578125" style="376" customWidth="1"/>
    <col min="524" max="524" width="11.7109375" style="376" customWidth="1"/>
    <col min="525" max="525" width="13.140625" style="376" customWidth="1"/>
    <col min="526" max="761" width="9.140625" style="376"/>
    <col min="762" max="762" width="3.7109375" style="376" customWidth="1"/>
    <col min="763" max="763" width="30.42578125" style="376" customWidth="1"/>
    <col min="764" max="764" width="7.140625" style="376" customWidth="1"/>
    <col min="765" max="765" width="10.7109375" style="376" customWidth="1"/>
    <col min="766" max="766" width="10.42578125" style="376" customWidth="1"/>
    <col min="767" max="767" width="10.5703125" style="376" customWidth="1"/>
    <col min="768" max="768" width="10.42578125" style="376" customWidth="1"/>
    <col min="769" max="771" width="10.5703125" style="376" customWidth="1"/>
    <col min="772" max="774" width="10.42578125" style="376" customWidth="1"/>
    <col min="775" max="775" width="10.5703125" style="376" customWidth="1"/>
    <col min="776" max="776" width="10.28515625" style="376" customWidth="1"/>
    <col min="777" max="777" width="10.140625" style="376" customWidth="1"/>
    <col min="778" max="778" width="11.7109375" style="376" customWidth="1"/>
    <col min="779" max="779" width="12.42578125" style="376" customWidth="1"/>
    <col min="780" max="780" width="11.7109375" style="376" customWidth="1"/>
    <col min="781" max="781" width="13.140625" style="376" customWidth="1"/>
    <col min="782" max="1017" width="9.140625" style="376"/>
    <col min="1018" max="1018" width="3.7109375" style="376" customWidth="1"/>
    <col min="1019" max="1019" width="30.42578125" style="376" customWidth="1"/>
    <col min="1020" max="1020" width="7.140625" style="376" customWidth="1"/>
    <col min="1021" max="1021" width="10.7109375" style="376" customWidth="1"/>
    <col min="1022" max="1022" width="10.42578125" style="376" customWidth="1"/>
    <col min="1023" max="1023" width="10.5703125" style="376" customWidth="1"/>
    <col min="1024" max="1024" width="10.42578125" style="376" customWidth="1"/>
    <col min="1025" max="1027" width="10.5703125" style="376" customWidth="1"/>
    <col min="1028" max="1030" width="10.42578125" style="376" customWidth="1"/>
    <col min="1031" max="1031" width="10.5703125" style="376" customWidth="1"/>
    <col min="1032" max="1032" width="10.28515625" style="376" customWidth="1"/>
    <col min="1033" max="1033" width="10.140625" style="376" customWidth="1"/>
    <col min="1034" max="1034" width="11.7109375" style="376" customWidth="1"/>
    <col min="1035" max="1035" width="12.42578125" style="376" customWidth="1"/>
    <col min="1036" max="1036" width="11.7109375" style="376" customWidth="1"/>
    <col min="1037" max="1037" width="13.140625" style="376" customWidth="1"/>
    <col min="1038" max="1273" width="9.140625" style="376"/>
    <col min="1274" max="1274" width="3.7109375" style="376" customWidth="1"/>
    <col min="1275" max="1275" width="30.42578125" style="376" customWidth="1"/>
    <col min="1276" max="1276" width="7.140625" style="376" customWidth="1"/>
    <col min="1277" max="1277" width="10.7109375" style="376" customWidth="1"/>
    <col min="1278" max="1278" width="10.42578125" style="376" customWidth="1"/>
    <col min="1279" max="1279" width="10.5703125" style="376" customWidth="1"/>
    <col min="1280" max="1280" width="10.42578125" style="376" customWidth="1"/>
    <col min="1281" max="1283" width="10.5703125" style="376" customWidth="1"/>
    <col min="1284" max="1286" width="10.42578125" style="376" customWidth="1"/>
    <col min="1287" max="1287" width="10.5703125" style="376" customWidth="1"/>
    <col min="1288" max="1288" width="10.28515625" style="376" customWidth="1"/>
    <col min="1289" max="1289" width="10.140625" style="376" customWidth="1"/>
    <col min="1290" max="1290" width="11.7109375" style="376" customWidth="1"/>
    <col min="1291" max="1291" width="12.42578125" style="376" customWidth="1"/>
    <col min="1292" max="1292" width="11.7109375" style="376" customWidth="1"/>
    <col min="1293" max="1293" width="13.140625" style="376" customWidth="1"/>
    <col min="1294" max="1529" width="9.140625" style="376"/>
    <col min="1530" max="1530" width="3.7109375" style="376" customWidth="1"/>
    <col min="1531" max="1531" width="30.42578125" style="376" customWidth="1"/>
    <col min="1532" max="1532" width="7.140625" style="376" customWidth="1"/>
    <col min="1533" max="1533" width="10.7109375" style="376" customWidth="1"/>
    <col min="1534" max="1534" width="10.42578125" style="376" customWidth="1"/>
    <col min="1535" max="1535" width="10.5703125" style="376" customWidth="1"/>
    <col min="1536" max="1536" width="10.42578125" style="376" customWidth="1"/>
    <col min="1537" max="1539" width="10.5703125" style="376" customWidth="1"/>
    <col min="1540" max="1542" width="10.42578125" style="376" customWidth="1"/>
    <col min="1543" max="1543" width="10.5703125" style="376" customWidth="1"/>
    <col min="1544" max="1544" width="10.28515625" style="376" customWidth="1"/>
    <col min="1545" max="1545" width="10.140625" style="376" customWidth="1"/>
    <col min="1546" max="1546" width="11.7109375" style="376" customWidth="1"/>
    <col min="1547" max="1547" width="12.42578125" style="376" customWidth="1"/>
    <col min="1548" max="1548" width="11.7109375" style="376" customWidth="1"/>
    <col min="1549" max="1549" width="13.140625" style="376" customWidth="1"/>
    <col min="1550" max="1785" width="9.140625" style="376"/>
    <col min="1786" max="1786" width="3.7109375" style="376" customWidth="1"/>
    <col min="1787" max="1787" width="30.42578125" style="376" customWidth="1"/>
    <col min="1788" max="1788" width="7.140625" style="376" customWidth="1"/>
    <col min="1789" max="1789" width="10.7109375" style="376" customWidth="1"/>
    <col min="1790" max="1790" width="10.42578125" style="376" customWidth="1"/>
    <col min="1791" max="1791" width="10.5703125" style="376" customWidth="1"/>
    <col min="1792" max="1792" width="10.42578125" style="376" customWidth="1"/>
    <col min="1793" max="1795" width="10.5703125" style="376" customWidth="1"/>
    <col min="1796" max="1798" width="10.42578125" style="376" customWidth="1"/>
    <col min="1799" max="1799" width="10.5703125" style="376" customWidth="1"/>
    <col min="1800" max="1800" width="10.28515625" style="376" customWidth="1"/>
    <col min="1801" max="1801" width="10.140625" style="376" customWidth="1"/>
    <col min="1802" max="1802" width="11.7109375" style="376" customWidth="1"/>
    <col min="1803" max="1803" width="12.42578125" style="376" customWidth="1"/>
    <col min="1804" max="1804" width="11.7109375" style="376" customWidth="1"/>
    <col min="1805" max="1805" width="13.140625" style="376" customWidth="1"/>
    <col min="1806" max="2041" width="9.140625" style="376"/>
    <col min="2042" max="2042" width="3.7109375" style="376" customWidth="1"/>
    <col min="2043" max="2043" width="30.42578125" style="376" customWidth="1"/>
    <col min="2044" max="2044" width="7.140625" style="376" customWidth="1"/>
    <col min="2045" max="2045" width="10.7109375" style="376" customWidth="1"/>
    <col min="2046" max="2046" width="10.42578125" style="376" customWidth="1"/>
    <col min="2047" max="2047" width="10.5703125" style="376" customWidth="1"/>
    <col min="2048" max="2048" width="10.42578125" style="376" customWidth="1"/>
    <col min="2049" max="2051" width="10.5703125" style="376" customWidth="1"/>
    <col min="2052" max="2054" width="10.42578125" style="376" customWidth="1"/>
    <col min="2055" max="2055" width="10.5703125" style="376" customWidth="1"/>
    <col min="2056" max="2056" width="10.28515625" style="376" customWidth="1"/>
    <col min="2057" max="2057" width="10.140625" style="376" customWidth="1"/>
    <col min="2058" max="2058" width="11.7109375" style="376" customWidth="1"/>
    <col min="2059" max="2059" width="12.42578125" style="376" customWidth="1"/>
    <col min="2060" max="2060" width="11.7109375" style="376" customWidth="1"/>
    <col min="2061" max="2061" width="13.140625" style="376" customWidth="1"/>
    <col min="2062" max="2297" width="9.140625" style="376"/>
    <col min="2298" max="2298" width="3.7109375" style="376" customWidth="1"/>
    <col min="2299" max="2299" width="30.42578125" style="376" customWidth="1"/>
    <col min="2300" max="2300" width="7.140625" style="376" customWidth="1"/>
    <col min="2301" max="2301" width="10.7109375" style="376" customWidth="1"/>
    <col min="2302" max="2302" width="10.42578125" style="376" customWidth="1"/>
    <col min="2303" max="2303" width="10.5703125" style="376" customWidth="1"/>
    <col min="2304" max="2304" width="10.42578125" style="376" customWidth="1"/>
    <col min="2305" max="2307" width="10.5703125" style="376" customWidth="1"/>
    <col min="2308" max="2310" width="10.42578125" style="376" customWidth="1"/>
    <col min="2311" max="2311" width="10.5703125" style="376" customWidth="1"/>
    <col min="2312" max="2312" width="10.28515625" style="376" customWidth="1"/>
    <col min="2313" max="2313" width="10.140625" style="376" customWidth="1"/>
    <col min="2314" max="2314" width="11.7109375" style="376" customWidth="1"/>
    <col min="2315" max="2315" width="12.42578125" style="376" customWidth="1"/>
    <col min="2316" max="2316" width="11.7109375" style="376" customWidth="1"/>
    <col min="2317" max="2317" width="13.140625" style="376" customWidth="1"/>
    <col min="2318" max="2553" width="9.140625" style="376"/>
    <col min="2554" max="2554" width="3.7109375" style="376" customWidth="1"/>
    <col min="2555" max="2555" width="30.42578125" style="376" customWidth="1"/>
    <col min="2556" max="2556" width="7.140625" style="376" customWidth="1"/>
    <col min="2557" max="2557" width="10.7109375" style="376" customWidth="1"/>
    <col min="2558" max="2558" width="10.42578125" style="376" customWidth="1"/>
    <col min="2559" max="2559" width="10.5703125" style="376" customWidth="1"/>
    <col min="2560" max="2560" width="10.42578125" style="376" customWidth="1"/>
    <col min="2561" max="2563" width="10.5703125" style="376" customWidth="1"/>
    <col min="2564" max="2566" width="10.42578125" style="376" customWidth="1"/>
    <col min="2567" max="2567" width="10.5703125" style="376" customWidth="1"/>
    <col min="2568" max="2568" width="10.28515625" style="376" customWidth="1"/>
    <col min="2569" max="2569" width="10.140625" style="376" customWidth="1"/>
    <col min="2570" max="2570" width="11.7109375" style="376" customWidth="1"/>
    <col min="2571" max="2571" width="12.42578125" style="376" customWidth="1"/>
    <col min="2572" max="2572" width="11.7109375" style="376" customWidth="1"/>
    <col min="2573" max="2573" width="13.140625" style="376" customWidth="1"/>
    <col min="2574" max="2809" width="9.140625" style="376"/>
    <col min="2810" max="2810" width="3.7109375" style="376" customWidth="1"/>
    <col min="2811" max="2811" width="30.42578125" style="376" customWidth="1"/>
    <col min="2812" max="2812" width="7.140625" style="376" customWidth="1"/>
    <col min="2813" max="2813" width="10.7109375" style="376" customWidth="1"/>
    <col min="2814" max="2814" width="10.42578125" style="376" customWidth="1"/>
    <col min="2815" max="2815" width="10.5703125" style="376" customWidth="1"/>
    <col min="2816" max="2816" width="10.42578125" style="376" customWidth="1"/>
    <col min="2817" max="2819" width="10.5703125" style="376" customWidth="1"/>
    <col min="2820" max="2822" width="10.42578125" style="376" customWidth="1"/>
    <col min="2823" max="2823" width="10.5703125" style="376" customWidth="1"/>
    <col min="2824" max="2824" width="10.28515625" style="376" customWidth="1"/>
    <col min="2825" max="2825" width="10.140625" style="376" customWidth="1"/>
    <col min="2826" max="2826" width="11.7109375" style="376" customWidth="1"/>
    <col min="2827" max="2827" width="12.42578125" style="376" customWidth="1"/>
    <col min="2828" max="2828" width="11.7109375" style="376" customWidth="1"/>
    <col min="2829" max="2829" width="13.140625" style="376" customWidth="1"/>
    <col min="2830" max="3065" width="9.140625" style="376"/>
    <col min="3066" max="3066" width="3.7109375" style="376" customWidth="1"/>
    <col min="3067" max="3067" width="30.42578125" style="376" customWidth="1"/>
    <col min="3068" max="3068" width="7.140625" style="376" customWidth="1"/>
    <col min="3069" max="3069" width="10.7109375" style="376" customWidth="1"/>
    <col min="3070" max="3070" width="10.42578125" style="376" customWidth="1"/>
    <col min="3071" max="3071" width="10.5703125" style="376" customWidth="1"/>
    <col min="3072" max="3072" width="10.42578125" style="376" customWidth="1"/>
    <col min="3073" max="3075" width="10.5703125" style="376" customWidth="1"/>
    <col min="3076" max="3078" width="10.42578125" style="376" customWidth="1"/>
    <col min="3079" max="3079" width="10.5703125" style="376" customWidth="1"/>
    <col min="3080" max="3080" width="10.28515625" style="376" customWidth="1"/>
    <col min="3081" max="3081" width="10.140625" style="376" customWidth="1"/>
    <col min="3082" max="3082" width="11.7109375" style="376" customWidth="1"/>
    <col min="3083" max="3083" width="12.42578125" style="376" customWidth="1"/>
    <col min="3084" max="3084" width="11.7109375" style="376" customWidth="1"/>
    <col min="3085" max="3085" width="13.140625" style="376" customWidth="1"/>
    <col min="3086" max="3321" width="9.140625" style="376"/>
    <col min="3322" max="3322" width="3.7109375" style="376" customWidth="1"/>
    <col min="3323" max="3323" width="30.42578125" style="376" customWidth="1"/>
    <col min="3324" max="3324" width="7.140625" style="376" customWidth="1"/>
    <col min="3325" max="3325" width="10.7109375" style="376" customWidth="1"/>
    <col min="3326" max="3326" width="10.42578125" style="376" customWidth="1"/>
    <col min="3327" max="3327" width="10.5703125" style="376" customWidth="1"/>
    <col min="3328" max="3328" width="10.42578125" style="376" customWidth="1"/>
    <col min="3329" max="3331" width="10.5703125" style="376" customWidth="1"/>
    <col min="3332" max="3334" width="10.42578125" style="376" customWidth="1"/>
    <col min="3335" max="3335" width="10.5703125" style="376" customWidth="1"/>
    <col min="3336" max="3336" width="10.28515625" style="376" customWidth="1"/>
    <col min="3337" max="3337" width="10.140625" style="376" customWidth="1"/>
    <col min="3338" max="3338" width="11.7109375" style="376" customWidth="1"/>
    <col min="3339" max="3339" width="12.42578125" style="376" customWidth="1"/>
    <col min="3340" max="3340" width="11.7109375" style="376" customWidth="1"/>
    <col min="3341" max="3341" width="13.140625" style="376" customWidth="1"/>
    <col min="3342" max="3577" width="9.140625" style="376"/>
    <col min="3578" max="3578" width="3.7109375" style="376" customWidth="1"/>
    <col min="3579" max="3579" width="30.42578125" style="376" customWidth="1"/>
    <col min="3580" max="3580" width="7.140625" style="376" customWidth="1"/>
    <col min="3581" max="3581" width="10.7109375" style="376" customWidth="1"/>
    <col min="3582" max="3582" width="10.42578125" style="376" customWidth="1"/>
    <col min="3583" max="3583" width="10.5703125" style="376" customWidth="1"/>
    <col min="3584" max="3584" width="10.42578125" style="376" customWidth="1"/>
    <col min="3585" max="3587" width="10.5703125" style="376" customWidth="1"/>
    <col min="3588" max="3590" width="10.42578125" style="376" customWidth="1"/>
    <col min="3591" max="3591" width="10.5703125" style="376" customWidth="1"/>
    <col min="3592" max="3592" width="10.28515625" style="376" customWidth="1"/>
    <col min="3593" max="3593" width="10.140625" style="376" customWidth="1"/>
    <col min="3594" max="3594" width="11.7109375" style="376" customWidth="1"/>
    <col min="3595" max="3595" width="12.42578125" style="376" customWidth="1"/>
    <col min="3596" max="3596" width="11.7109375" style="376" customWidth="1"/>
    <col min="3597" max="3597" width="13.140625" style="376" customWidth="1"/>
    <col min="3598" max="3833" width="9.140625" style="376"/>
    <col min="3834" max="3834" width="3.7109375" style="376" customWidth="1"/>
    <col min="3835" max="3835" width="30.42578125" style="376" customWidth="1"/>
    <col min="3836" max="3836" width="7.140625" style="376" customWidth="1"/>
    <col min="3837" max="3837" width="10.7109375" style="376" customWidth="1"/>
    <col min="3838" max="3838" width="10.42578125" style="376" customWidth="1"/>
    <col min="3839" max="3839" width="10.5703125" style="376" customWidth="1"/>
    <col min="3840" max="3840" width="10.42578125" style="376" customWidth="1"/>
    <col min="3841" max="3843" width="10.5703125" style="376" customWidth="1"/>
    <col min="3844" max="3846" width="10.42578125" style="376" customWidth="1"/>
    <col min="3847" max="3847" width="10.5703125" style="376" customWidth="1"/>
    <col min="3848" max="3848" width="10.28515625" style="376" customWidth="1"/>
    <col min="3849" max="3849" width="10.140625" style="376" customWidth="1"/>
    <col min="3850" max="3850" width="11.7109375" style="376" customWidth="1"/>
    <col min="3851" max="3851" width="12.42578125" style="376" customWidth="1"/>
    <col min="3852" max="3852" width="11.7109375" style="376" customWidth="1"/>
    <col min="3853" max="3853" width="13.140625" style="376" customWidth="1"/>
    <col min="3854" max="4089" width="9.140625" style="376"/>
    <col min="4090" max="4090" width="3.7109375" style="376" customWidth="1"/>
    <col min="4091" max="4091" width="30.42578125" style="376" customWidth="1"/>
    <col min="4092" max="4092" width="7.140625" style="376" customWidth="1"/>
    <col min="4093" max="4093" width="10.7109375" style="376" customWidth="1"/>
    <col min="4094" max="4094" width="10.42578125" style="376" customWidth="1"/>
    <col min="4095" max="4095" width="10.5703125" style="376" customWidth="1"/>
    <col min="4096" max="4096" width="10.42578125" style="376" customWidth="1"/>
    <col min="4097" max="4099" width="10.5703125" style="376" customWidth="1"/>
    <col min="4100" max="4102" width="10.42578125" style="376" customWidth="1"/>
    <col min="4103" max="4103" width="10.5703125" style="376" customWidth="1"/>
    <col min="4104" max="4104" width="10.28515625" style="376" customWidth="1"/>
    <col min="4105" max="4105" width="10.140625" style="376" customWidth="1"/>
    <col min="4106" max="4106" width="11.7109375" style="376" customWidth="1"/>
    <col min="4107" max="4107" width="12.42578125" style="376" customWidth="1"/>
    <col min="4108" max="4108" width="11.7109375" style="376" customWidth="1"/>
    <col min="4109" max="4109" width="13.140625" style="376" customWidth="1"/>
    <col min="4110" max="4345" width="9.140625" style="376"/>
    <col min="4346" max="4346" width="3.7109375" style="376" customWidth="1"/>
    <col min="4347" max="4347" width="30.42578125" style="376" customWidth="1"/>
    <col min="4348" max="4348" width="7.140625" style="376" customWidth="1"/>
    <col min="4349" max="4349" width="10.7109375" style="376" customWidth="1"/>
    <col min="4350" max="4350" width="10.42578125" style="376" customWidth="1"/>
    <col min="4351" max="4351" width="10.5703125" style="376" customWidth="1"/>
    <col min="4352" max="4352" width="10.42578125" style="376" customWidth="1"/>
    <col min="4353" max="4355" width="10.5703125" style="376" customWidth="1"/>
    <col min="4356" max="4358" width="10.42578125" style="376" customWidth="1"/>
    <col min="4359" max="4359" width="10.5703125" style="376" customWidth="1"/>
    <col min="4360" max="4360" width="10.28515625" style="376" customWidth="1"/>
    <col min="4361" max="4361" width="10.140625" style="376" customWidth="1"/>
    <col min="4362" max="4362" width="11.7109375" style="376" customWidth="1"/>
    <col min="4363" max="4363" width="12.42578125" style="376" customWidth="1"/>
    <col min="4364" max="4364" width="11.7109375" style="376" customWidth="1"/>
    <col min="4365" max="4365" width="13.140625" style="376" customWidth="1"/>
    <col min="4366" max="4601" width="9.140625" style="376"/>
    <col min="4602" max="4602" width="3.7109375" style="376" customWidth="1"/>
    <col min="4603" max="4603" width="30.42578125" style="376" customWidth="1"/>
    <col min="4604" max="4604" width="7.140625" style="376" customWidth="1"/>
    <col min="4605" max="4605" width="10.7109375" style="376" customWidth="1"/>
    <col min="4606" max="4606" width="10.42578125" style="376" customWidth="1"/>
    <col min="4607" max="4607" width="10.5703125" style="376" customWidth="1"/>
    <col min="4608" max="4608" width="10.42578125" style="376" customWidth="1"/>
    <col min="4609" max="4611" width="10.5703125" style="376" customWidth="1"/>
    <col min="4612" max="4614" width="10.42578125" style="376" customWidth="1"/>
    <col min="4615" max="4615" width="10.5703125" style="376" customWidth="1"/>
    <col min="4616" max="4616" width="10.28515625" style="376" customWidth="1"/>
    <col min="4617" max="4617" width="10.140625" style="376" customWidth="1"/>
    <col min="4618" max="4618" width="11.7109375" style="376" customWidth="1"/>
    <col min="4619" max="4619" width="12.42578125" style="376" customWidth="1"/>
    <col min="4620" max="4620" width="11.7109375" style="376" customWidth="1"/>
    <col min="4621" max="4621" width="13.140625" style="376" customWidth="1"/>
    <col min="4622" max="4857" width="9.140625" style="376"/>
    <col min="4858" max="4858" width="3.7109375" style="376" customWidth="1"/>
    <col min="4859" max="4859" width="30.42578125" style="376" customWidth="1"/>
    <col min="4860" max="4860" width="7.140625" style="376" customWidth="1"/>
    <col min="4861" max="4861" width="10.7109375" style="376" customWidth="1"/>
    <col min="4862" max="4862" width="10.42578125" style="376" customWidth="1"/>
    <col min="4863" max="4863" width="10.5703125" style="376" customWidth="1"/>
    <col min="4864" max="4864" width="10.42578125" style="376" customWidth="1"/>
    <col min="4865" max="4867" width="10.5703125" style="376" customWidth="1"/>
    <col min="4868" max="4870" width="10.42578125" style="376" customWidth="1"/>
    <col min="4871" max="4871" width="10.5703125" style="376" customWidth="1"/>
    <col min="4872" max="4872" width="10.28515625" style="376" customWidth="1"/>
    <col min="4873" max="4873" width="10.140625" style="376" customWidth="1"/>
    <col min="4874" max="4874" width="11.7109375" style="376" customWidth="1"/>
    <col min="4875" max="4875" width="12.42578125" style="376" customWidth="1"/>
    <col min="4876" max="4876" width="11.7109375" style="376" customWidth="1"/>
    <col min="4877" max="4877" width="13.140625" style="376" customWidth="1"/>
    <col min="4878" max="5113" width="9.140625" style="376"/>
    <col min="5114" max="5114" width="3.7109375" style="376" customWidth="1"/>
    <col min="5115" max="5115" width="30.42578125" style="376" customWidth="1"/>
    <col min="5116" max="5116" width="7.140625" style="376" customWidth="1"/>
    <col min="5117" max="5117" width="10.7109375" style="376" customWidth="1"/>
    <col min="5118" max="5118" width="10.42578125" style="376" customWidth="1"/>
    <col min="5119" max="5119" width="10.5703125" style="376" customWidth="1"/>
    <col min="5120" max="5120" width="10.42578125" style="376" customWidth="1"/>
    <col min="5121" max="5123" width="10.5703125" style="376" customWidth="1"/>
    <col min="5124" max="5126" width="10.42578125" style="376" customWidth="1"/>
    <col min="5127" max="5127" width="10.5703125" style="376" customWidth="1"/>
    <col min="5128" max="5128" width="10.28515625" style="376" customWidth="1"/>
    <col min="5129" max="5129" width="10.140625" style="376" customWidth="1"/>
    <col min="5130" max="5130" width="11.7109375" style="376" customWidth="1"/>
    <col min="5131" max="5131" width="12.42578125" style="376" customWidth="1"/>
    <col min="5132" max="5132" width="11.7109375" style="376" customWidth="1"/>
    <col min="5133" max="5133" width="13.140625" style="376" customWidth="1"/>
    <col min="5134" max="5369" width="9.140625" style="376"/>
    <col min="5370" max="5370" width="3.7109375" style="376" customWidth="1"/>
    <col min="5371" max="5371" width="30.42578125" style="376" customWidth="1"/>
    <col min="5372" max="5372" width="7.140625" style="376" customWidth="1"/>
    <col min="5373" max="5373" width="10.7109375" style="376" customWidth="1"/>
    <col min="5374" max="5374" width="10.42578125" style="376" customWidth="1"/>
    <col min="5375" max="5375" width="10.5703125" style="376" customWidth="1"/>
    <col min="5376" max="5376" width="10.42578125" style="376" customWidth="1"/>
    <col min="5377" max="5379" width="10.5703125" style="376" customWidth="1"/>
    <col min="5380" max="5382" width="10.42578125" style="376" customWidth="1"/>
    <col min="5383" max="5383" width="10.5703125" style="376" customWidth="1"/>
    <col min="5384" max="5384" width="10.28515625" style="376" customWidth="1"/>
    <col min="5385" max="5385" width="10.140625" style="376" customWidth="1"/>
    <col min="5386" max="5386" width="11.7109375" style="376" customWidth="1"/>
    <col min="5387" max="5387" width="12.42578125" style="376" customWidth="1"/>
    <col min="5388" max="5388" width="11.7109375" style="376" customWidth="1"/>
    <col min="5389" max="5389" width="13.140625" style="376" customWidth="1"/>
    <col min="5390" max="5625" width="9.140625" style="376"/>
    <col min="5626" max="5626" width="3.7109375" style="376" customWidth="1"/>
    <col min="5627" max="5627" width="30.42578125" style="376" customWidth="1"/>
    <col min="5628" max="5628" width="7.140625" style="376" customWidth="1"/>
    <col min="5629" max="5629" width="10.7109375" style="376" customWidth="1"/>
    <col min="5630" max="5630" width="10.42578125" style="376" customWidth="1"/>
    <col min="5631" max="5631" width="10.5703125" style="376" customWidth="1"/>
    <col min="5632" max="5632" width="10.42578125" style="376" customWidth="1"/>
    <col min="5633" max="5635" width="10.5703125" style="376" customWidth="1"/>
    <col min="5636" max="5638" width="10.42578125" style="376" customWidth="1"/>
    <col min="5639" max="5639" width="10.5703125" style="376" customWidth="1"/>
    <col min="5640" max="5640" width="10.28515625" style="376" customWidth="1"/>
    <col min="5641" max="5641" width="10.140625" style="376" customWidth="1"/>
    <col min="5642" max="5642" width="11.7109375" style="376" customWidth="1"/>
    <col min="5643" max="5643" width="12.42578125" style="376" customWidth="1"/>
    <col min="5644" max="5644" width="11.7109375" style="376" customWidth="1"/>
    <col min="5645" max="5645" width="13.140625" style="376" customWidth="1"/>
    <col min="5646" max="5881" width="9.140625" style="376"/>
    <col min="5882" max="5882" width="3.7109375" style="376" customWidth="1"/>
    <col min="5883" max="5883" width="30.42578125" style="376" customWidth="1"/>
    <col min="5884" max="5884" width="7.140625" style="376" customWidth="1"/>
    <col min="5885" max="5885" width="10.7109375" style="376" customWidth="1"/>
    <col min="5886" max="5886" width="10.42578125" style="376" customWidth="1"/>
    <col min="5887" max="5887" width="10.5703125" style="376" customWidth="1"/>
    <col min="5888" max="5888" width="10.42578125" style="376" customWidth="1"/>
    <col min="5889" max="5891" width="10.5703125" style="376" customWidth="1"/>
    <col min="5892" max="5894" width="10.42578125" style="376" customWidth="1"/>
    <col min="5895" max="5895" width="10.5703125" style="376" customWidth="1"/>
    <col min="5896" max="5896" width="10.28515625" style="376" customWidth="1"/>
    <col min="5897" max="5897" width="10.140625" style="376" customWidth="1"/>
    <col min="5898" max="5898" width="11.7109375" style="376" customWidth="1"/>
    <col min="5899" max="5899" width="12.42578125" style="376" customWidth="1"/>
    <col min="5900" max="5900" width="11.7109375" style="376" customWidth="1"/>
    <col min="5901" max="5901" width="13.140625" style="376" customWidth="1"/>
    <col min="5902" max="6137" width="9.140625" style="376"/>
    <col min="6138" max="6138" width="3.7109375" style="376" customWidth="1"/>
    <col min="6139" max="6139" width="30.42578125" style="376" customWidth="1"/>
    <col min="6140" max="6140" width="7.140625" style="376" customWidth="1"/>
    <col min="6141" max="6141" width="10.7109375" style="376" customWidth="1"/>
    <col min="6142" max="6142" width="10.42578125" style="376" customWidth="1"/>
    <col min="6143" max="6143" width="10.5703125" style="376" customWidth="1"/>
    <col min="6144" max="6144" width="10.42578125" style="376" customWidth="1"/>
    <col min="6145" max="6147" width="10.5703125" style="376" customWidth="1"/>
    <col min="6148" max="6150" width="10.42578125" style="376" customWidth="1"/>
    <col min="6151" max="6151" width="10.5703125" style="376" customWidth="1"/>
    <col min="6152" max="6152" width="10.28515625" style="376" customWidth="1"/>
    <col min="6153" max="6153" width="10.140625" style="376" customWidth="1"/>
    <col min="6154" max="6154" width="11.7109375" style="376" customWidth="1"/>
    <col min="6155" max="6155" width="12.42578125" style="376" customWidth="1"/>
    <col min="6156" max="6156" width="11.7109375" style="376" customWidth="1"/>
    <col min="6157" max="6157" width="13.140625" style="376" customWidth="1"/>
    <col min="6158" max="6393" width="9.140625" style="376"/>
    <col min="6394" max="6394" width="3.7109375" style="376" customWidth="1"/>
    <col min="6395" max="6395" width="30.42578125" style="376" customWidth="1"/>
    <col min="6396" max="6396" width="7.140625" style="376" customWidth="1"/>
    <col min="6397" max="6397" width="10.7109375" style="376" customWidth="1"/>
    <col min="6398" max="6398" width="10.42578125" style="376" customWidth="1"/>
    <col min="6399" max="6399" width="10.5703125" style="376" customWidth="1"/>
    <col min="6400" max="6400" width="10.42578125" style="376" customWidth="1"/>
    <col min="6401" max="6403" width="10.5703125" style="376" customWidth="1"/>
    <col min="6404" max="6406" width="10.42578125" style="376" customWidth="1"/>
    <col min="6407" max="6407" width="10.5703125" style="376" customWidth="1"/>
    <col min="6408" max="6408" width="10.28515625" style="376" customWidth="1"/>
    <col min="6409" max="6409" width="10.140625" style="376" customWidth="1"/>
    <col min="6410" max="6410" width="11.7109375" style="376" customWidth="1"/>
    <col min="6411" max="6411" width="12.42578125" style="376" customWidth="1"/>
    <col min="6412" max="6412" width="11.7109375" style="376" customWidth="1"/>
    <col min="6413" max="6413" width="13.140625" style="376" customWidth="1"/>
    <col min="6414" max="6649" width="9.140625" style="376"/>
    <col min="6650" max="6650" width="3.7109375" style="376" customWidth="1"/>
    <col min="6651" max="6651" width="30.42578125" style="376" customWidth="1"/>
    <col min="6652" max="6652" width="7.140625" style="376" customWidth="1"/>
    <col min="6653" max="6653" width="10.7109375" style="376" customWidth="1"/>
    <col min="6654" max="6654" width="10.42578125" style="376" customWidth="1"/>
    <col min="6655" max="6655" width="10.5703125" style="376" customWidth="1"/>
    <col min="6656" max="6656" width="10.42578125" style="376" customWidth="1"/>
    <col min="6657" max="6659" width="10.5703125" style="376" customWidth="1"/>
    <col min="6660" max="6662" width="10.42578125" style="376" customWidth="1"/>
    <col min="6663" max="6663" width="10.5703125" style="376" customWidth="1"/>
    <col min="6664" max="6664" width="10.28515625" style="376" customWidth="1"/>
    <col min="6665" max="6665" width="10.140625" style="376" customWidth="1"/>
    <col min="6666" max="6666" width="11.7109375" style="376" customWidth="1"/>
    <col min="6667" max="6667" width="12.42578125" style="376" customWidth="1"/>
    <col min="6668" max="6668" width="11.7109375" style="376" customWidth="1"/>
    <col min="6669" max="6669" width="13.140625" style="376" customWidth="1"/>
    <col min="6670" max="6905" width="9.140625" style="376"/>
    <col min="6906" max="6906" width="3.7109375" style="376" customWidth="1"/>
    <col min="6907" max="6907" width="30.42578125" style="376" customWidth="1"/>
    <col min="6908" max="6908" width="7.140625" style="376" customWidth="1"/>
    <col min="6909" max="6909" width="10.7109375" style="376" customWidth="1"/>
    <col min="6910" max="6910" width="10.42578125" style="376" customWidth="1"/>
    <col min="6911" max="6911" width="10.5703125" style="376" customWidth="1"/>
    <col min="6912" max="6912" width="10.42578125" style="376" customWidth="1"/>
    <col min="6913" max="6915" width="10.5703125" style="376" customWidth="1"/>
    <col min="6916" max="6918" width="10.42578125" style="376" customWidth="1"/>
    <col min="6919" max="6919" width="10.5703125" style="376" customWidth="1"/>
    <col min="6920" max="6920" width="10.28515625" style="376" customWidth="1"/>
    <col min="6921" max="6921" width="10.140625" style="376" customWidth="1"/>
    <col min="6922" max="6922" width="11.7109375" style="376" customWidth="1"/>
    <col min="6923" max="6923" width="12.42578125" style="376" customWidth="1"/>
    <col min="6924" max="6924" width="11.7109375" style="376" customWidth="1"/>
    <col min="6925" max="6925" width="13.140625" style="376" customWidth="1"/>
    <col min="6926" max="7161" width="9.140625" style="376"/>
    <col min="7162" max="7162" width="3.7109375" style="376" customWidth="1"/>
    <col min="7163" max="7163" width="30.42578125" style="376" customWidth="1"/>
    <col min="7164" max="7164" width="7.140625" style="376" customWidth="1"/>
    <col min="7165" max="7165" width="10.7109375" style="376" customWidth="1"/>
    <col min="7166" max="7166" width="10.42578125" style="376" customWidth="1"/>
    <col min="7167" max="7167" width="10.5703125" style="376" customWidth="1"/>
    <col min="7168" max="7168" width="10.42578125" style="376" customWidth="1"/>
    <col min="7169" max="7171" width="10.5703125" style="376" customWidth="1"/>
    <col min="7172" max="7174" width="10.42578125" style="376" customWidth="1"/>
    <col min="7175" max="7175" width="10.5703125" style="376" customWidth="1"/>
    <col min="7176" max="7176" width="10.28515625" style="376" customWidth="1"/>
    <col min="7177" max="7177" width="10.140625" style="376" customWidth="1"/>
    <col min="7178" max="7178" width="11.7109375" style="376" customWidth="1"/>
    <col min="7179" max="7179" width="12.42578125" style="376" customWidth="1"/>
    <col min="7180" max="7180" width="11.7109375" style="376" customWidth="1"/>
    <col min="7181" max="7181" width="13.140625" style="376" customWidth="1"/>
    <col min="7182" max="7417" width="9.140625" style="376"/>
    <col min="7418" max="7418" width="3.7109375" style="376" customWidth="1"/>
    <col min="7419" max="7419" width="30.42578125" style="376" customWidth="1"/>
    <col min="7420" max="7420" width="7.140625" style="376" customWidth="1"/>
    <col min="7421" max="7421" width="10.7109375" style="376" customWidth="1"/>
    <col min="7422" max="7422" width="10.42578125" style="376" customWidth="1"/>
    <col min="7423" max="7423" width="10.5703125" style="376" customWidth="1"/>
    <col min="7424" max="7424" width="10.42578125" style="376" customWidth="1"/>
    <col min="7425" max="7427" width="10.5703125" style="376" customWidth="1"/>
    <col min="7428" max="7430" width="10.42578125" style="376" customWidth="1"/>
    <col min="7431" max="7431" width="10.5703125" style="376" customWidth="1"/>
    <col min="7432" max="7432" width="10.28515625" style="376" customWidth="1"/>
    <col min="7433" max="7433" width="10.140625" style="376" customWidth="1"/>
    <col min="7434" max="7434" width="11.7109375" style="376" customWidth="1"/>
    <col min="7435" max="7435" width="12.42578125" style="376" customWidth="1"/>
    <col min="7436" max="7436" width="11.7109375" style="376" customWidth="1"/>
    <col min="7437" max="7437" width="13.140625" style="376" customWidth="1"/>
    <col min="7438" max="7673" width="9.140625" style="376"/>
    <col min="7674" max="7674" width="3.7109375" style="376" customWidth="1"/>
    <col min="7675" max="7675" width="30.42578125" style="376" customWidth="1"/>
    <col min="7676" max="7676" width="7.140625" style="376" customWidth="1"/>
    <col min="7677" max="7677" width="10.7109375" style="376" customWidth="1"/>
    <col min="7678" max="7678" width="10.42578125" style="376" customWidth="1"/>
    <col min="7679" max="7679" width="10.5703125" style="376" customWidth="1"/>
    <col min="7680" max="7680" width="10.42578125" style="376" customWidth="1"/>
    <col min="7681" max="7683" width="10.5703125" style="376" customWidth="1"/>
    <col min="7684" max="7686" width="10.42578125" style="376" customWidth="1"/>
    <col min="7687" max="7687" width="10.5703125" style="376" customWidth="1"/>
    <col min="7688" max="7688" width="10.28515625" style="376" customWidth="1"/>
    <col min="7689" max="7689" width="10.140625" style="376" customWidth="1"/>
    <col min="7690" max="7690" width="11.7109375" style="376" customWidth="1"/>
    <col min="7691" max="7691" width="12.42578125" style="376" customWidth="1"/>
    <col min="7692" max="7692" width="11.7109375" style="376" customWidth="1"/>
    <col min="7693" max="7693" width="13.140625" style="376" customWidth="1"/>
    <col min="7694" max="7929" width="9.140625" style="376"/>
    <col min="7930" max="7930" width="3.7109375" style="376" customWidth="1"/>
    <col min="7931" max="7931" width="30.42578125" style="376" customWidth="1"/>
    <col min="7932" max="7932" width="7.140625" style="376" customWidth="1"/>
    <col min="7933" max="7933" width="10.7109375" style="376" customWidth="1"/>
    <col min="7934" max="7934" width="10.42578125" style="376" customWidth="1"/>
    <col min="7935" max="7935" width="10.5703125" style="376" customWidth="1"/>
    <col min="7936" max="7936" width="10.42578125" style="376" customWidth="1"/>
    <col min="7937" max="7939" width="10.5703125" style="376" customWidth="1"/>
    <col min="7940" max="7942" width="10.42578125" style="376" customWidth="1"/>
    <col min="7943" max="7943" width="10.5703125" style="376" customWidth="1"/>
    <col min="7944" max="7944" width="10.28515625" style="376" customWidth="1"/>
    <col min="7945" max="7945" width="10.140625" style="376" customWidth="1"/>
    <col min="7946" max="7946" width="11.7109375" style="376" customWidth="1"/>
    <col min="7947" max="7947" width="12.42578125" style="376" customWidth="1"/>
    <col min="7948" max="7948" width="11.7109375" style="376" customWidth="1"/>
    <col min="7949" max="7949" width="13.140625" style="376" customWidth="1"/>
    <col min="7950" max="8185" width="9.140625" style="376"/>
    <col min="8186" max="8186" width="3.7109375" style="376" customWidth="1"/>
    <col min="8187" max="8187" width="30.42578125" style="376" customWidth="1"/>
    <col min="8188" max="8188" width="7.140625" style="376" customWidth="1"/>
    <col min="8189" max="8189" width="10.7109375" style="376" customWidth="1"/>
    <col min="8190" max="8190" width="10.42578125" style="376" customWidth="1"/>
    <col min="8191" max="8191" width="10.5703125" style="376" customWidth="1"/>
    <col min="8192" max="8192" width="10.42578125" style="376" customWidth="1"/>
    <col min="8193" max="8195" width="10.5703125" style="376" customWidth="1"/>
    <col min="8196" max="8198" width="10.42578125" style="376" customWidth="1"/>
    <col min="8199" max="8199" width="10.5703125" style="376" customWidth="1"/>
    <col min="8200" max="8200" width="10.28515625" style="376" customWidth="1"/>
    <col min="8201" max="8201" width="10.140625" style="376" customWidth="1"/>
    <col min="8202" max="8202" width="11.7109375" style="376" customWidth="1"/>
    <col min="8203" max="8203" width="12.42578125" style="376" customWidth="1"/>
    <col min="8204" max="8204" width="11.7109375" style="376" customWidth="1"/>
    <col min="8205" max="8205" width="13.140625" style="376" customWidth="1"/>
    <col min="8206" max="8441" width="9.140625" style="376"/>
    <col min="8442" max="8442" width="3.7109375" style="376" customWidth="1"/>
    <col min="8443" max="8443" width="30.42578125" style="376" customWidth="1"/>
    <col min="8444" max="8444" width="7.140625" style="376" customWidth="1"/>
    <col min="8445" max="8445" width="10.7109375" style="376" customWidth="1"/>
    <col min="8446" max="8446" width="10.42578125" style="376" customWidth="1"/>
    <col min="8447" max="8447" width="10.5703125" style="376" customWidth="1"/>
    <col min="8448" max="8448" width="10.42578125" style="376" customWidth="1"/>
    <col min="8449" max="8451" width="10.5703125" style="376" customWidth="1"/>
    <col min="8452" max="8454" width="10.42578125" style="376" customWidth="1"/>
    <col min="8455" max="8455" width="10.5703125" style="376" customWidth="1"/>
    <col min="8456" max="8456" width="10.28515625" style="376" customWidth="1"/>
    <col min="8457" max="8457" width="10.140625" style="376" customWidth="1"/>
    <col min="8458" max="8458" width="11.7109375" style="376" customWidth="1"/>
    <col min="8459" max="8459" width="12.42578125" style="376" customWidth="1"/>
    <col min="8460" max="8460" width="11.7109375" style="376" customWidth="1"/>
    <col min="8461" max="8461" width="13.140625" style="376" customWidth="1"/>
    <col min="8462" max="8697" width="9.140625" style="376"/>
    <col min="8698" max="8698" width="3.7109375" style="376" customWidth="1"/>
    <col min="8699" max="8699" width="30.42578125" style="376" customWidth="1"/>
    <col min="8700" max="8700" width="7.140625" style="376" customWidth="1"/>
    <col min="8701" max="8701" width="10.7109375" style="376" customWidth="1"/>
    <col min="8702" max="8702" width="10.42578125" style="376" customWidth="1"/>
    <col min="8703" max="8703" width="10.5703125" style="376" customWidth="1"/>
    <col min="8704" max="8704" width="10.42578125" style="376" customWidth="1"/>
    <col min="8705" max="8707" width="10.5703125" style="376" customWidth="1"/>
    <col min="8708" max="8710" width="10.42578125" style="376" customWidth="1"/>
    <col min="8711" max="8711" width="10.5703125" style="376" customWidth="1"/>
    <col min="8712" max="8712" width="10.28515625" style="376" customWidth="1"/>
    <col min="8713" max="8713" width="10.140625" style="376" customWidth="1"/>
    <col min="8714" max="8714" width="11.7109375" style="376" customWidth="1"/>
    <col min="8715" max="8715" width="12.42578125" style="376" customWidth="1"/>
    <col min="8716" max="8716" width="11.7109375" style="376" customWidth="1"/>
    <col min="8717" max="8717" width="13.140625" style="376" customWidth="1"/>
    <col min="8718" max="8953" width="9.140625" style="376"/>
    <col min="8954" max="8954" width="3.7109375" style="376" customWidth="1"/>
    <col min="8955" max="8955" width="30.42578125" style="376" customWidth="1"/>
    <col min="8956" max="8956" width="7.140625" style="376" customWidth="1"/>
    <col min="8957" max="8957" width="10.7109375" style="376" customWidth="1"/>
    <col min="8958" max="8958" width="10.42578125" style="376" customWidth="1"/>
    <col min="8959" max="8959" width="10.5703125" style="376" customWidth="1"/>
    <col min="8960" max="8960" width="10.42578125" style="376" customWidth="1"/>
    <col min="8961" max="8963" width="10.5703125" style="376" customWidth="1"/>
    <col min="8964" max="8966" width="10.42578125" style="376" customWidth="1"/>
    <col min="8967" max="8967" width="10.5703125" style="376" customWidth="1"/>
    <col min="8968" max="8968" width="10.28515625" style="376" customWidth="1"/>
    <col min="8969" max="8969" width="10.140625" style="376" customWidth="1"/>
    <col min="8970" max="8970" width="11.7109375" style="376" customWidth="1"/>
    <col min="8971" max="8971" width="12.42578125" style="376" customWidth="1"/>
    <col min="8972" max="8972" width="11.7109375" style="376" customWidth="1"/>
    <col min="8973" max="8973" width="13.140625" style="376" customWidth="1"/>
    <col min="8974" max="9209" width="9.140625" style="376"/>
    <col min="9210" max="9210" width="3.7109375" style="376" customWidth="1"/>
    <col min="9211" max="9211" width="30.42578125" style="376" customWidth="1"/>
    <col min="9212" max="9212" width="7.140625" style="376" customWidth="1"/>
    <col min="9213" max="9213" width="10.7109375" style="376" customWidth="1"/>
    <col min="9214" max="9214" width="10.42578125" style="376" customWidth="1"/>
    <col min="9215" max="9215" width="10.5703125" style="376" customWidth="1"/>
    <col min="9216" max="9216" width="10.42578125" style="376" customWidth="1"/>
    <col min="9217" max="9219" width="10.5703125" style="376" customWidth="1"/>
    <col min="9220" max="9222" width="10.42578125" style="376" customWidth="1"/>
    <col min="9223" max="9223" width="10.5703125" style="376" customWidth="1"/>
    <col min="9224" max="9224" width="10.28515625" style="376" customWidth="1"/>
    <col min="9225" max="9225" width="10.140625" style="376" customWidth="1"/>
    <col min="9226" max="9226" width="11.7109375" style="376" customWidth="1"/>
    <col min="9227" max="9227" width="12.42578125" style="376" customWidth="1"/>
    <col min="9228" max="9228" width="11.7109375" style="376" customWidth="1"/>
    <col min="9229" max="9229" width="13.140625" style="376" customWidth="1"/>
    <col min="9230" max="9465" width="9.140625" style="376"/>
    <col min="9466" max="9466" width="3.7109375" style="376" customWidth="1"/>
    <col min="9467" max="9467" width="30.42578125" style="376" customWidth="1"/>
    <col min="9468" max="9468" width="7.140625" style="376" customWidth="1"/>
    <col min="9469" max="9469" width="10.7109375" style="376" customWidth="1"/>
    <col min="9470" max="9470" width="10.42578125" style="376" customWidth="1"/>
    <col min="9471" max="9471" width="10.5703125" style="376" customWidth="1"/>
    <col min="9472" max="9472" width="10.42578125" style="376" customWidth="1"/>
    <col min="9473" max="9475" width="10.5703125" style="376" customWidth="1"/>
    <col min="9476" max="9478" width="10.42578125" style="376" customWidth="1"/>
    <col min="9479" max="9479" width="10.5703125" style="376" customWidth="1"/>
    <col min="9480" max="9480" width="10.28515625" style="376" customWidth="1"/>
    <col min="9481" max="9481" width="10.140625" style="376" customWidth="1"/>
    <col min="9482" max="9482" width="11.7109375" style="376" customWidth="1"/>
    <col min="9483" max="9483" width="12.42578125" style="376" customWidth="1"/>
    <col min="9484" max="9484" width="11.7109375" style="376" customWidth="1"/>
    <col min="9485" max="9485" width="13.140625" style="376" customWidth="1"/>
    <col min="9486" max="9721" width="9.140625" style="376"/>
    <col min="9722" max="9722" width="3.7109375" style="376" customWidth="1"/>
    <col min="9723" max="9723" width="30.42578125" style="376" customWidth="1"/>
    <col min="9724" max="9724" width="7.140625" style="376" customWidth="1"/>
    <col min="9725" max="9725" width="10.7109375" style="376" customWidth="1"/>
    <col min="9726" max="9726" width="10.42578125" style="376" customWidth="1"/>
    <col min="9727" max="9727" width="10.5703125" style="376" customWidth="1"/>
    <col min="9728" max="9728" width="10.42578125" style="376" customWidth="1"/>
    <col min="9729" max="9731" width="10.5703125" style="376" customWidth="1"/>
    <col min="9732" max="9734" width="10.42578125" style="376" customWidth="1"/>
    <col min="9735" max="9735" width="10.5703125" style="376" customWidth="1"/>
    <col min="9736" max="9736" width="10.28515625" style="376" customWidth="1"/>
    <col min="9737" max="9737" width="10.140625" style="376" customWidth="1"/>
    <col min="9738" max="9738" width="11.7109375" style="376" customWidth="1"/>
    <col min="9739" max="9739" width="12.42578125" style="376" customWidth="1"/>
    <col min="9740" max="9740" width="11.7109375" style="376" customWidth="1"/>
    <col min="9741" max="9741" width="13.140625" style="376" customWidth="1"/>
    <col min="9742" max="9977" width="9.140625" style="376"/>
    <col min="9978" max="9978" width="3.7109375" style="376" customWidth="1"/>
    <col min="9979" max="9979" width="30.42578125" style="376" customWidth="1"/>
    <col min="9980" max="9980" width="7.140625" style="376" customWidth="1"/>
    <col min="9981" max="9981" width="10.7109375" style="376" customWidth="1"/>
    <col min="9982" max="9982" width="10.42578125" style="376" customWidth="1"/>
    <col min="9983" max="9983" width="10.5703125" style="376" customWidth="1"/>
    <col min="9984" max="9984" width="10.42578125" style="376" customWidth="1"/>
    <col min="9985" max="9987" width="10.5703125" style="376" customWidth="1"/>
    <col min="9988" max="9990" width="10.42578125" style="376" customWidth="1"/>
    <col min="9991" max="9991" width="10.5703125" style="376" customWidth="1"/>
    <col min="9992" max="9992" width="10.28515625" style="376" customWidth="1"/>
    <col min="9993" max="9993" width="10.140625" style="376" customWidth="1"/>
    <col min="9994" max="9994" width="11.7109375" style="376" customWidth="1"/>
    <col min="9995" max="9995" width="12.42578125" style="376" customWidth="1"/>
    <col min="9996" max="9996" width="11.7109375" style="376" customWidth="1"/>
    <col min="9997" max="9997" width="13.140625" style="376" customWidth="1"/>
    <col min="9998" max="10233" width="9.140625" style="376"/>
    <col min="10234" max="10234" width="3.7109375" style="376" customWidth="1"/>
    <col min="10235" max="10235" width="30.42578125" style="376" customWidth="1"/>
    <col min="10236" max="10236" width="7.140625" style="376" customWidth="1"/>
    <col min="10237" max="10237" width="10.7109375" style="376" customWidth="1"/>
    <col min="10238" max="10238" width="10.42578125" style="376" customWidth="1"/>
    <col min="10239" max="10239" width="10.5703125" style="376" customWidth="1"/>
    <col min="10240" max="10240" width="10.42578125" style="376" customWidth="1"/>
    <col min="10241" max="10243" width="10.5703125" style="376" customWidth="1"/>
    <col min="10244" max="10246" width="10.42578125" style="376" customWidth="1"/>
    <col min="10247" max="10247" width="10.5703125" style="376" customWidth="1"/>
    <col min="10248" max="10248" width="10.28515625" style="376" customWidth="1"/>
    <col min="10249" max="10249" width="10.140625" style="376" customWidth="1"/>
    <col min="10250" max="10250" width="11.7109375" style="376" customWidth="1"/>
    <col min="10251" max="10251" width="12.42578125" style="376" customWidth="1"/>
    <col min="10252" max="10252" width="11.7109375" style="376" customWidth="1"/>
    <col min="10253" max="10253" width="13.140625" style="376" customWidth="1"/>
    <col min="10254" max="10489" width="9.140625" style="376"/>
    <col min="10490" max="10490" width="3.7109375" style="376" customWidth="1"/>
    <col min="10491" max="10491" width="30.42578125" style="376" customWidth="1"/>
    <col min="10492" max="10492" width="7.140625" style="376" customWidth="1"/>
    <col min="10493" max="10493" width="10.7109375" style="376" customWidth="1"/>
    <col min="10494" max="10494" width="10.42578125" style="376" customWidth="1"/>
    <col min="10495" max="10495" width="10.5703125" style="376" customWidth="1"/>
    <col min="10496" max="10496" width="10.42578125" style="376" customWidth="1"/>
    <col min="10497" max="10499" width="10.5703125" style="376" customWidth="1"/>
    <col min="10500" max="10502" width="10.42578125" style="376" customWidth="1"/>
    <col min="10503" max="10503" width="10.5703125" style="376" customWidth="1"/>
    <col min="10504" max="10504" width="10.28515625" style="376" customWidth="1"/>
    <col min="10505" max="10505" width="10.140625" style="376" customWidth="1"/>
    <col min="10506" max="10506" width="11.7109375" style="376" customWidth="1"/>
    <col min="10507" max="10507" width="12.42578125" style="376" customWidth="1"/>
    <col min="10508" max="10508" width="11.7109375" style="376" customWidth="1"/>
    <col min="10509" max="10509" width="13.140625" style="376" customWidth="1"/>
    <col min="10510" max="10745" width="9.140625" style="376"/>
    <col min="10746" max="10746" width="3.7109375" style="376" customWidth="1"/>
    <col min="10747" max="10747" width="30.42578125" style="376" customWidth="1"/>
    <col min="10748" max="10748" width="7.140625" style="376" customWidth="1"/>
    <col min="10749" max="10749" width="10.7109375" style="376" customWidth="1"/>
    <col min="10750" max="10750" width="10.42578125" style="376" customWidth="1"/>
    <col min="10751" max="10751" width="10.5703125" style="376" customWidth="1"/>
    <col min="10752" max="10752" width="10.42578125" style="376" customWidth="1"/>
    <col min="10753" max="10755" width="10.5703125" style="376" customWidth="1"/>
    <col min="10756" max="10758" width="10.42578125" style="376" customWidth="1"/>
    <col min="10759" max="10759" width="10.5703125" style="376" customWidth="1"/>
    <col min="10760" max="10760" width="10.28515625" style="376" customWidth="1"/>
    <col min="10761" max="10761" width="10.140625" style="376" customWidth="1"/>
    <col min="10762" max="10762" width="11.7109375" style="376" customWidth="1"/>
    <col min="10763" max="10763" width="12.42578125" style="376" customWidth="1"/>
    <col min="10764" max="10764" width="11.7109375" style="376" customWidth="1"/>
    <col min="10765" max="10765" width="13.140625" style="376" customWidth="1"/>
    <col min="10766" max="11001" width="9.140625" style="376"/>
    <col min="11002" max="11002" width="3.7109375" style="376" customWidth="1"/>
    <col min="11003" max="11003" width="30.42578125" style="376" customWidth="1"/>
    <col min="11004" max="11004" width="7.140625" style="376" customWidth="1"/>
    <col min="11005" max="11005" width="10.7109375" style="376" customWidth="1"/>
    <col min="11006" max="11006" width="10.42578125" style="376" customWidth="1"/>
    <col min="11007" max="11007" width="10.5703125" style="376" customWidth="1"/>
    <col min="11008" max="11008" width="10.42578125" style="376" customWidth="1"/>
    <col min="11009" max="11011" width="10.5703125" style="376" customWidth="1"/>
    <col min="11012" max="11014" width="10.42578125" style="376" customWidth="1"/>
    <col min="11015" max="11015" width="10.5703125" style="376" customWidth="1"/>
    <col min="11016" max="11016" width="10.28515625" style="376" customWidth="1"/>
    <col min="11017" max="11017" width="10.140625" style="376" customWidth="1"/>
    <col min="11018" max="11018" width="11.7109375" style="376" customWidth="1"/>
    <col min="11019" max="11019" width="12.42578125" style="376" customWidth="1"/>
    <col min="11020" max="11020" width="11.7109375" style="376" customWidth="1"/>
    <col min="11021" max="11021" width="13.140625" style="376" customWidth="1"/>
    <col min="11022" max="11257" width="9.140625" style="376"/>
    <col min="11258" max="11258" width="3.7109375" style="376" customWidth="1"/>
    <col min="11259" max="11259" width="30.42578125" style="376" customWidth="1"/>
    <col min="11260" max="11260" width="7.140625" style="376" customWidth="1"/>
    <col min="11261" max="11261" width="10.7109375" style="376" customWidth="1"/>
    <col min="11262" max="11262" width="10.42578125" style="376" customWidth="1"/>
    <col min="11263" max="11263" width="10.5703125" style="376" customWidth="1"/>
    <col min="11264" max="11264" width="10.42578125" style="376" customWidth="1"/>
    <col min="11265" max="11267" width="10.5703125" style="376" customWidth="1"/>
    <col min="11268" max="11270" width="10.42578125" style="376" customWidth="1"/>
    <col min="11271" max="11271" width="10.5703125" style="376" customWidth="1"/>
    <col min="11272" max="11272" width="10.28515625" style="376" customWidth="1"/>
    <col min="11273" max="11273" width="10.140625" style="376" customWidth="1"/>
    <col min="11274" max="11274" width="11.7109375" style="376" customWidth="1"/>
    <col min="11275" max="11275" width="12.42578125" style="376" customWidth="1"/>
    <col min="11276" max="11276" width="11.7109375" style="376" customWidth="1"/>
    <col min="11277" max="11277" width="13.140625" style="376" customWidth="1"/>
    <col min="11278" max="11513" width="9.140625" style="376"/>
    <col min="11514" max="11514" width="3.7109375" style="376" customWidth="1"/>
    <col min="11515" max="11515" width="30.42578125" style="376" customWidth="1"/>
    <col min="11516" max="11516" width="7.140625" style="376" customWidth="1"/>
    <col min="11517" max="11517" width="10.7109375" style="376" customWidth="1"/>
    <col min="11518" max="11518" width="10.42578125" style="376" customWidth="1"/>
    <col min="11519" max="11519" width="10.5703125" style="376" customWidth="1"/>
    <col min="11520" max="11520" width="10.42578125" style="376" customWidth="1"/>
    <col min="11521" max="11523" width="10.5703125" style="376" customWidth="1"/>
    <col min="11524" max="11526" width="10.42578125" style="376" customWidth="1"/>
    <col min="11527" max="11527" width="10.5703125" style="376" customWidth="1"/>
    <col min="11528" max="11528" width="10.28515625" style="376" customWidth="1"/>
    <col min="11529" max="11529" width="10.140625" style="376" customWidth="1"/>
    <col min="11530" max="11530" width="11.7109375" style="376" customWidth="1"/>
    <col min="11531" max="11531" width="12.42578125" style="376" customWidth="1"/>
    <col min="11532" max="11532" width="11.7109375" style="376" customWidth="1"/>
    <col min="11533" max="11533" width="13.140625" style="376" customWidth="1"/>
    <col min="11534" max="11769" width="9.140625" style="376"/>
    <col min="11770" max="11770" width="3.7109375" style="376" customWidth="1"/>
    <col min="11771" max="11771" width="30.42578125" style="376" customWidth="1"/>
    <col min="11772" max="11772" width="7.140625" style="376" customWidth="1"/>
    <col min="11773" max="11773" width="10.7109375" style="376" customWidth="1"/>
    <col min="11774" max="11774" width="10.42578125" style="376" customWidth="1"/>
    <col min="11775" max="11775" width="10.5703125" style="376" customWidth="1"/>
    <col min="11776" max="11776" width="10.42578125" style="376" customWidth="1"/>
    <col min="11777" max="11779" width="10.5703125" style="376" customWidth="1"/>
    <col min="11780" max="11782" width="10.42578125" style="376" customWidth="1"/>
    <col min="11783" max="11783" width="10.5703125" style="376" customWidth="1"/>
    <col min="11784" max="11784" width="10.28515625" style="376" customWidth="1"/>
    <col min="11785" max="11785" width="10.140625" style="376" customWidth="1"/>
    <col min="11786" max="11786" width="11.7109375" style="376" customWidth="1"/>
    <col min="11787" max="11787" width="12.42578125" style="376" customWidth="1"/>
    <col min="11788" max="11788" width="11.7109375" style="376" customWidth="1"/>
    <col min="11789" max="11789" width="13.140625" style="376" customWidth="1"/>
    <col min="11790" max="12025" width="9.140625" style="376"/>
    <col min="12026" max="12026" width="3.7109375" style="376" customWidth="1"/>
    <col min="12027" max="12027" width="30.42578125" style="376" customWidth="1"/>
    <col min="12028" max="12028" width="7.140625" style="376" customWidth="1"/>
    <col min="12029" max="12029" width="10.7109375" style="376" customWidth="1"/>
    <col min="12030" max="12030" width="10.42578125" style="376" customWidth="1"/>
    <col min="12031" max="12031" width="10.5703125" style="376" customWidth="1"/>
    <col min="12032" max="12032" width="10.42578125" style="376" customWidth="1"/>
    <col min="12033" max="12035" width="10.5703125" style="376" customWidth="1"/>
    <col min="12036" max="12038" width="10.42578125" style="376" customWidth="1"/>
    <col min="12039" max="12039" width="10.5703125" style="376" customWidth="1"/>
    <col min="12040" max="12040" width="10.28515625" style="376" customWidth="1"/>
    <col min="12041" max="12041" width="10.140625" style="376" customWidth="1"/>
    <col min="12042" max="12042" width="11.7109375" style="376" customWidth="1"/>
    <col min="12043" max="12043" width="12.42578125" style="376" customWidth="1"/>
    <col min="12044" max="12044" width="11.7109375" style="376" customWidth="1"/>
    <col min="12045" max="12045" width="13.140625" style="376" customWidth="1"/>
    <col min="12046" max="12281" width="9.140625" style="376"/>
    <col min="12282" max="12282" width="3.7109375" style="376" customWidth="1"/>
    <col min="12283" max="12283" width="30.42578125" style="376" customWidth="1"/>
    <col min="12284" max="12284" width="7.140625" style="376" customWidth="1"/>
    <col min="12285" max="12285" width="10.7109375" style="376" customWidth="1"/>
    <col min="12286" max="12286" width="10.42578125" style="376" customWidth="1"/>
    <col min="12287" max="12287" width="10.5703125" style="376" customWidth="1"/>
    <col min="12288" max="12288" width="10.42578125" style="376" customWidth="1"/>
    <col min="12289" max="12291" width="10.5703125" style="376" customWidth="1"/>
    <col min="12292" max="12294" width="10.42578125" style="376" customWidth="1"/>
    <col min="12295" max="12295" width="10.5703125" style="376" customWidth="1"/>
    <col min="12296" max="12296" width="10.28515625" style="376" customWidth="1"/>
    <col min="12297" max="12297" width="10.140625" style="376" customWidth="1"/>
    <col min="12298" max="12298" width="11.7109375" style="376" customWidth="1"/>
    <col min="12299" max="12299" width="12.42578125" style="376" customWidth="1"/>
    <col min="12300" max="12300" width="11.7109375" style="376" customWidth="1"/>
    <col min="12301" max="12301" width="13.140625" style="376" customWidth="1"/>
    <col min="12302" max="12537" width="9.140625" style="376"/>
    <col min="12538" max="12538" width="3.7109375" style="376" customWidth="1"/>
    <col min="12539" max="12539" width="30.42578125" style="376" customWidth="1"/>
    <col min="12540" max="12540" width="7.140625" style="376" customWidth="1"/>
    <col min="12541" max="12541" width="10.7109375" style="376" customWidth="1"/>
    <col min="12542" max="12542" width="10.42578125" style="376" customWidth="1"/>
    <col min="12543" max="12543" width="10.5703125" style="376" customWidth="1"/>
    <col min="12544" max="12544" width="10.42578125" style="376" customWidth="1"/>
    <col min="12545" max="12547" width="10.5703125" style="376" customWidth="1"/>
    <col min="12548" max="12550" width="10.42578125" style="376" customWidth="1"/>
    <col min="12551" max="12551" width="10.5703125" style="376" customWidth="1"/>
    <col min="12552" max="12552" width="10.28515625" style="376" customWidth="1"/>
    <col min="12553" max="12553" width="10.140625" style="376" customWidth="1"/>
    <col min="12554" max="12554" width="11.7109375" style="376" customWidth="1"/>
    <col min="12555" max="12555" width="12.42578125" style="376" customWidth="1"/>
    <col min="12556" max="12556" width="11.7109375" style="376" customWidth="1"/>
    <col min="12557" max="12557" width="13.140625" style="376" customWidth="1"/>
    <col min="12558" max="12793" width="9.140625" style="376"/>
    <col min="12794" max="12794" width="3.7109375" style="376" customWidth="1"/>
    <col min="12795" max="12795" width="30.42578125" style="376" customWidth="1"/>
    <col min="12796" max="12796" width="7.140625" style="376" customWidth="1"/>
    <col min="12797" max="12797" width="10.7109375" style="376" customWidth="1"/>
    <col min="12798" max="12798" width="10.42578125" style="376" customWidth="1"/>
    <col min="12799" max="12799" width="10.5703125" style="376" customWidth="1"/>
    <col min="12800" max="12800" width="10.42578125" style="376" customWidth="1"/>
    <col min="12801" max="12803" width="10.5703125" style="376" customWidth="1"/>
    <col min="12804" max="12806" width="10.42578125" style="376" customWidth="1"/>
    <col min="12807" max="12807" width="10.5703125" style="376" customWidth="1"/>
    <col min="12808" max="12808" width="10.28515625" style="376" customWidth="1"/>
    <col min="12809" max="12809" width="10.140625" style="376" customWidth="1"/>
    <col min="12810" max="12810" width="11.7109375" style="376" customWidth="1"/>
    <col min="12811" max="12811" width="12.42578125" style="376" customWidth="1"/>
    <col min="12812" max="12812" width="11.7109375" style="376" customWidth="1"/>
    <col min="12813" max="12813" width="13.140625" style="376" customWidth="1"/>
    <col min="12814" max="13049" width="9.140625" style="376"/>
    <col min="13050" max="13050" width="3.7109375" style="376" customWidth="1"/>
    <col min="13051" max="13051" width="30.42578125" style="376" customWidth="1"/>
    <col min="13052" max="13052" width="7.140625" style="376" customWidth="1"/>
    <col min="13053" max="13053" width="10.7109375" style="376" customWidth="1"/>
    <col min="13054" max="13054" width="10.42578125" style="376" customWidth="1"/>
    <col min="13055" max="13055" width="10.5703125" style="376" customWidth="1"/>
    <col min="13056" max="13056" width="10.42578125" style="376" customWidth="1"/>
    <col min="13057" max="13059" width="10.5703125" style="376" customWidth="1"/>
    <col min="13060" max="13062" width="10.42578125" style="376" customWidth="1"/>
    <col min="13063" max="13063" width="10.5703125" style="376" customWidth="1"/>
    <col min="13064" max="13064" width="10.28515625" style="376" customWidth="1"/>
    <col min="13065" max="13065" width="10.140625" style="376" customWidth="1"/>
    <col min="13066" max="13066" width="11.7109375" style="376" customWidth="1"/>
    <col min="13067" max="13067" width="12.42578125" style="376" customWidth="1"/>
    <col min="13068" max="13068" width="11.7109375" style="376" customWidth="1"/>
    <col min="13069" max="13069" width="13.140625" style="376" customWidth="1"/>
    <col min="13070" max="13305" width="9.140625" style="376"/>
    <col min="13306" max="13306" width="3.7109375" style="376" customWidth="1"/>
    <col min="13307" max="13307" width="30.42578125" style="376" customWidth="1"/>
    <col min="13308" max="13308" width="7.140625" style="376" customWidth="1"/>
    <col min="13309" max="13309" width="10.7109375" style="376" customWidth="1"/>
    <col min="13310" max="13310" width="10.42578125" style="376" customWidth="1"/>
    <col min="13311" max="13311" width="10.5703125" style="376" customWidth="1"/>
    <col min="13312" max="13312" width="10.42578125" style="376" customWidth="1"/>
    <col min="13313" max="13315" width="10.5703125" style="376" customWidth="1"/>
    <col min="13316" max="13318" width="10.42578125" style="376" customWidth="1"/>
    <col min="13319" max="13319" width="10.5703125" style="376" customWidth="1"/>
    <col min="13320" max="13320" width="10.28515625" style="376" customWidth="1"/>
    <col min="13321" max="13321" width="10.140625" style="376" customWidth="1"/>
    <col min="13322" max="13322" width="11.7109375" style="376" customWidth="1"/>
    <col min="13323" max="13323" width="12.42578125" style="376" customWidth="1"/>
    <col min="13324" max="13324" width="11.7109375" style="376" customWidth="1"/>
    <col min="13325" max="13325" width="13.140625" style="376" customWidth="1"/>
    <col min="13326" max="13561" width="9.140625" style="376"/>
    <col min="13562" max="13562" width="3.7109375" style="376" customWidth="1"/>
    <col min="13563" max="13563" width="30.42578125" style="376" customWidth="1"/>
    <col min="13564" max="13564" width="7.140625" style="376" customWidth="1"/>
    <col min="13565" max="13565" width="10.7109375" style="376" customWidth="1"/>
    <col min="13566" max="13566" width="10.42578125" style="376" customWidth="1"/>
    <col min="13567" max="13567" width="10.5703125" style="376" customWidth="1"/>
    <col min="13568" max="13568" width="10.42578125" style="376" customWidth="1"/>
    <col min="13569" max="13571" width="10.5703125" style="376" customWidth="1"/>
    <col min="13572" max="13574" width="10.42578125" style="376" customWidth="1"/>
    <col min="13575" max="13575" width="10.5703125" style="376" customWidth="1"/>
    <col min="13576" max="13576" width="10.28515625" style="376" customWidth="1"/>
    <col min="13577" max="13577" width="10.140625" style="376" customWidth="1"/>
    <col min="13578" max="13578" width="11.7109375" style="376" customWidth="1"/>
    <col min="13579" max="13579" width="12.42578125" style="376" customWidth="1"/>
    <col min="13580" max="13580" width="11.7109375" style="376" customWidth="1"/>
    <col min="13581" max="13581" width="13.140625" style="376" customWidth="1"/>
    <col min="13582" max="13817" width="9.140625" style="376"/>
    <col min="13818" max="13818" width="3.7109375" style="376" customWidth="1"/>
    <col min="13819" max="13819" width="30.42578125" style="376" customWidth="1"/>
    <col min="13820" max="13820" width="7.140625" style="376" customWidth="1"/>
    <col min="13821" max="13821" width="10.7109375" style="376" customWidth="1"/>
    <col min="13822" max="13822" width="10.42578125" style="376" customWidth="1"/>
    <col min="13823" max="13823" width="10.5703125" style="376" customWidth="1"/>
    <col min="13824" max="13824" width="10.42578125" style="376" customWidth="1"/>
    <col min="13825" max="13827" width="10.5703125" style="376" customWidth="1"/>
    <col min="13828" max="13830" width="10.42578125" style="376" customWidth="1"/>
    <col min="13831" max="13831" width="10.5703125" style="376" customWidth="1"/>
    <col min="13832" max="13832" width="10.28515625" style="376" customWidth="1"/>
    <col min="13833" max="13833" width="10.140625" style="376" customWidth="1"/>
    <col min="13834" max="13834" width="11.7109375" style="376" customWidth="1"/>
    <col min="13835" max="13835" width="12.42578125" style="376" customWidth="1"/>
    <col min="13836" max="13836" width="11.7109375" style="376" customWidth="1"/>
    <col min="13837" max="13837" width="13.140625" style="376" customWidth="1"/>
    <col min="13838" max="14073" width="9.140625" style="376"/>
    <col min="14074" max="14074" width="3.7109375" style="376" customWidth="1"/>
    <col min="14075" max="14075" width="30.42578125" style="376" customWidth="1"/>
    <col min="14076" max="14076" width="7.140625" style="376" customWidth="1"/>
    <col min="14077" max="14077" width="10.7109375" style="376" customWidth="1"/>
    <col min="14078" max="14078" width="10.42578125" style="376" customWidth="1"/>
    <col min="14079" max="14079" width="10.5703125" style="376" customWidth="1"/>
    <col min="14080" max="14080" width="10.42578125" style="376" customWidth="1"/>
    <col min="14081" max="14083" width="10.5703125" style="376" customWidth="1"/>
    <col min="14084" max="14086" width="10.42578125" style="376" customWidth="1"/>
    <col min="14087" max="14087" width="10.5703125" style="376" customWidth="1"/>
    <col min="14088" max="14088" width="10.28515625" style="376" customWidth="1"/>
    <col min="14089" max="14089" width="10.140625" style="376" customWidth="1"/>
    <col min="14090" max="14090" width="11.7109375" style="376" customWidth="1"/>
    <col min="14091" max="14091" width="12.42578125" style="376" customWidth="1"/>
    <col min="14092" max="14092" width="11.7109375" style="376" customWidth="1"/>
    <col min="14093" max="14093" width="13.140625" style="376" customWidth="1"/>
    <col min="14094" max="14329" width="9.140625" style="376"/>
    <col min="14330" max="14330" width="3.7109375" style="376" customWidth="1"/>
    <col min="14331" max="14331" width="30.42578125" style="376" customWidth="1"/>
    <col min="14332" max="14332" width="7.140625" style="376" customWidth="1"/>
    <col min="14333" max="14333" width="10.7109375" style="376" customWidth="1"/>
    <col min="14334" max="14334" width="10.42578125" style="376" customWidth="1"/>
    <col min="14335" max="14335" width="10.5703125" style="376" customWidth="1"/>
    <col min="14336" max="14336" width="10.42578125" style="376" customWidth="1"/>
    <col min="14337" max="14339" width="10.5703125" style="376" customWidth="1"/>
    <col min="14340" max="14342" width="10.42578125" style="376" customWidth="1"/>
    <col min="14343" max="14343" width="10.5703125" style="376" customWidth="1"/>
    <col min="14344" max="14344" width="10.28515625" style="376" customWidth="1"/>
    <col min="14345" max="14345" width="10.140625" style="376" customWidth="1"/>
    <col min="14346" max="14346" width="11.7109375" style="376" customWidth="1"/>
    <col min="14347" max="14347" width="12.42578125" style="376" customWidth="1"/>
    <col min="14348" max="14348" width="11.7109375" style="376" customWidth="1"/>
    <col min="14349" max="14349" width="13.140625" style="376" customWidth="1"/>
    <col min="14350" max="14585" width="9.140625" style="376"/>
    <col min="14586" max="14586" width="3.7109375" style="376" customWidth="1"/>
    <col min="14587" max="14587" width="30.42578125" style="376" customWidth="1"/>
    <col min="14588" max="14588" width="7.140625" style="376" customWidth="1"/>
    <col min="14589" max="14589" width="10.7109375" style="376" customWidth="1"/>
    <col min="14590" max="14590" width="10.42578125" style="376" customWidth="1"/>
    <col min="14591" max="14591" width="10.5703125" style="376" customWidth="1"/>
    <col min="14592" max="14592" width="10.42578125" style="376" customWidth="1"/>
    <col min="14593" max="14595" width="10.5703125" style="376" customWidth="1"/>
    <col min="14596" max="14598" width="10.42578125" style="376" customWidth="1"/>
    <col min="14599" max="14599" width="10.5703125" style="376" customWidth="1"/>
    <col min="14600" max="14600" width="10.28515625" style="376" customWidth="1"/>
    <col min="14601" max="14601" width="10.140625" style="376" customWidth="1"/>
    <col min="14602" max="14602" width="11.7109375" style="376" customWidth="1"/>
    <col min="14603" max="14603" width="12.42578125" style="376" customWidth="1"/>
    <col min="14604" max="14604" width="11.7109375" style="376" customWidth="1"/>
    <col min="14605" max="14605" width="13.140625" style="376" customWidth="1"/>
    <col min="14606" max="14841" width="9.140625" style="376"/>
    <col min="14842" max="14842" width="3.7109375" style="376" customWidth="1"/>
    <col min="14843" max="14843" width="30.42578125" style="376" customWidth="1"/>
    <col min="14844" max="14844" width="7.140625" style="376" customWidth="1"/>
    <col min="14845" max="14845" width="10.7109375" style="376" customWidth="1"/>
    <col min="14846" max="14846" width="10.42578125" style="376" customWidth="1"/>
    <col min="14847" max="14847" width="10.5703125" style="376" customWidth="1"/>
    <col min="14848" max="14848" width="10.42578125" style="376" customWidth="1"/>
    <col min="14849" max="14851" width="10.5703125" style="376" customWidth="1"/>
    <col min="14852" max="14854" width="10.42578125" style="376" customWidth="1"/>
    <col min="14855" max="14855" width="10.5703125" style="376" customWidth="1"/>
    <col min="14856" max="14856" width="10.28515625" style="376" customWidth="1"/>
    <col min="14857" max="14857" width="10.140625" style="376" customWidth="1"/>
    <col min="14858" max="14858" width="11.7109375" style="376" customWidth="1"/>
    <col min="14859" max="14859" width="12.42578125" style="376" customWidth="1"/>
    <col min="14860" max="14860" width="11.7109375" style="376" customWidth="1"/>
    <col min="14861" max="14861" width="13.140625" style="376" customWidth="1"/>
    <col min="14862" max="15097" width="9.140625" style="376"/>
    <col min="15098" max="15098" width="3.7109375" style="376" customWidth="1"/>
    <col min="15099" max="15099" width="30.42578125" style="376" customWidth="1"/>
    <col min="15100" max="15100" width="7.140625" style="376" customWidth="1"/>
    <col min="15101" max="15101" width="10.7109375" style="376" customWidth="1"/>
    <col min="15102" max="15102" width="10.42578125" style="376" customWidth="1"/>
    <col min="15103" max="15103" width="10.5703125" style="376" customWidth="1"/>
    <col min="15104" max="15104" width="10.42578125" style="376" customWidth="1"/>
    <col min="15105" max="15107" width="10.5703125" style="376" customWidth="1"/>
    <col min="15108" max="15110" width="10.42578125" style="376" customWidth="1"/>
    <col min="15111" max="15111" width="10.5703125" style="376" customWidth="1"/>
    <col min="15112" max="15112" width="10.28515625" style="376" customWidth="1"/>
    <col min="15113" max="15113" width="10.140625" style="376" customWidth="1"/>
    <col min="15114" max="15114" width="11.7109375" style="376" customWidth="1"/>
    <col min="15115" max="15115" width="12.42578125" style="376" customWidth="1"/>
    <col min="15116" max="15116" width="11.7109375" style="376" customWidth="1"/>
    <col min="15117" max="15117" width="13.140625" style="376" customWidth="1"/>
    <col min="15118" max="15353" width="9.140625" style="376"/>
    <col min="15354" max="15354" width="3.7109375" style="376" customWidth="1"/>
    <col min="15355" max="15355" width="30.42578125" style="376" customWidth="1"/>
    <col min="15356" max="15356" width="7.140625" style="376" customWidth="1"/>
    <col min="15357" max="15357" width="10.7109375" style="376" customWidth="1"/>
    <col min="15358" max="15358" width="10.42578125" style="376" customWidth="1"/>
    <col min="15359" max="15359" width="10.5703125" style="376" customWidth="1"/>
    <col min="15360" max="15360" width="10.42578125" style="376" customWidth="1"/>
    <col min="15361" max="15363" width="10.5703125" style="376" customWidth="1"/>
    <col min="15364" max="15366" width="10.42578125" style="376" customWidth="1"/>
    <col min="15367" max="15367" width="10.5703125" style="376" customWidth="1"/>
    <col min="15368" max="15368" width="10.28515625" style="376" customWidth="1"/>
    <col min="15369" max="15369" width="10.140625" style="376" customWidth="1"/>
    <col min="15370" max="15370" width="11.7109375" style="376" customWidth="1"/>
    <col min="15371" max="15371" width="12.42578125" style="376" customWidth="1"/>
    <col min="15372" max="15372" width="11.7109375" style="376" customWidth="1"/>
    <col min="15373" max="15373" width="13.140625" style="376" customWidth="1"/>
    <col min="15374" max="15609" width="9.140625" style="376"/>
    <col min="15610" max="15610" width="3.7109375" style="376" customWidth="1"/>
    <col min="15611" max="15611" width="30.42578125" style="376" customWidth="1"/>
    <col min="15612" max="15612" width="7.140625" style="376" customWidth="1"/>
    <col min="15613" max="15613" width="10.7109375" style="376" customWidth="1"/>
    <col min="15614" max="15614" width="10.42578125" style="376" customWidth="1"/>
    <col min="15615" max="15615" width="10.5703125" style="376" customWidth="1"/>
    <col min="15616" max="15616" width="10.42578125" style="376" customWidth="1"/>
    <col min="15617" max="15619" width="10.5703125" style="376" customWidth="1"/>
    <col min="15620" max="15622" width="10.42578125" style="376" customWidth="1"/>
    <col min="15623" max="15623" width="10.5703125" style="376" customWidth="1"/>
    <col min="15624" max="15624" width="10.28515625" style="376" customWidth="1"/>
    <col min="15625" max="15625" width="10.140625" style="376" customWidth="1"/>
    <col min="15626" max="15626" width="11.7109375" style="376" customWidth="1"/>
    <col min="15627" max="15627" width="12.42578125" style="376" customWidth="1"/>
    <col min="15628" max="15628" width="11.7109375" style="376" customWidth="1"/>
    <col min="15629" max="15629" width="13.140625" style="376" customWidth="1"/>
    <col min="15630" max="15865" width="9.140625" style="376"/>
    <col min="15866" max="15866" width="3.7109375" style="376" customWidth="1"/>
    <col min="15867" max="15867" width="30.42578125" style="376" customWidth="1"/>
    <col min="15868" max="15868" width="7.140625" style="376" customWidth="1"/>
    <col min="15869" max="15869" width="10.7109375" style="376" customWidth="1"/>
    <col min="15870" max="15870" width="10.42578125" style="376" customWidth="1"/>
    <col min="15871" max="15871" width="10.5703125" style="376" customWidth="1"/>
    <col min="15872" max="15872" width="10.42578125" style="376" customWidth="1"/>
    <col min="15873" max="15875" width="10.5703125" style="376" customWidth="1"/>
    <col min="15876" max="15878" width="10.42578125" style="376" customWidth="1"/>
    <col min="15879" max="15879" width="10.5703125" style="376" customWidth="1"/>
    <col min="15880" max="15880" width="10.28515625" style="376" customWidth="1"/>
    <col min="15881" max="15881" width="10.140625" style="376" customWidth="1"/>
    <col min="15882" max="15882" width="11.7109375" style="376" customWidth="1"/>
    <col min="15883" max="15883" width="12.42578125" style="376" customWidth="1"/>
    <col min="15884" max="15884" width="11.7109375" style="376" customWidth="1"/>
    <col min="15885" max="15885" width="13.140625" style="376" customWidth="1"/>
    <col min="15886" max="16121" width="9.140625" style="376"/>
    <col min="16122" max="16122" width="3.7109375" style="376" customWidth="1"/>
    <col min="16123" max="16123" width="30.42578125" style="376" customWidth="1"/>
    <col min="16124" max="16124" width="7.140625" style="376" customWidth="1"/>
    <col min="16125" max="16125" width="10.7109375" style="376" customWidth="1"/>
    <col min="16126" max="16126" width="10.42578125" style="376" customWidth="1"/>
    <col min="16127" max="16127" width="10.5703125" style="376" customWidth="1"/>
    <col min="16128" max="16128" width="10.42578125" style="376" customWidth="1"/>
    <col min="16129" max="16131" width="10.5703125" style="376" customWidth="1"/>
    <col min="16132" max="16134" width="10.42578125" style="376" customWidth="1"/>
    <col min="16135" max="16135" width="10.5703125" style="376" customWidth="1"/>
    <col min="16136" max="16136" width="10.28515625" style="376" customWidth="1"/>
    <col min="16137" max="16137" width="10.140625" style="376" customWidth="1"/>
    <col min="16138" max="16138" width="11.7109375" style="376" customWidth="1"/>
    <col min="16139" max="16139" width="12.42578125" style="376" customWidth="1"/>
    <col min="16140" max="16140" width="11.7109375" style="376" customWidth="1"/>
    <col min="16141" max="16141" width="13.140625" style="376" customWidth="1"/>
    <col min="16142" max="16384" width="9.140625" style="376"/>
  </cols>
  <sheetData>
    <row r="1" spans="1:19" s="423" customFormat="1" ht="23.25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</row>
    <row r="2" spans="1:19" s="423" customFormat="1" ht="18">
      <c r="A2" s="673" t="s">
        <v>202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</row>
    <row r="3" spans="1:19" s="423" customFormat="1" ht="18.75" thickBo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 s="430" customFormat="1" ht="33.75" thickTop="1">
      <c r="A4" s="424" t="s">
        <v>1</v>
      </c>
      <c r="B4" s="425" t="s">
        <v>2</v>
      </c>
      <c r="C4" s="426"/>
      <c r="D4" s="427" t="s">
        <v>3</v>
      </c>
      <c r="E4" s="344" t="s">
        <v>4</v>
      </c>
      <c r="F4" s="427" t="s">
        <v>5</v>
      </c>
      <c r="G4" s="427" t="s">
        <v>6</v>
      </c>
      <c r="H4" s="427" t="s">
        <v>7</v>
      </c>
      <c r="I4" s="344" t="s">
        <v>8</v>
      </c>
      <c r="J4" s="344" t="s">
        <v>9</v>
      </c>
      <c r="K4" s="344" t="s">
        <v>10</v>
      </c>
      <c r="L4" s="344" t="s">
        <v>11</v>
      </c>
      <c r="M4" s="344" t="s">
        <v>12</v>
      </c>
      <c r="N4" s="344" t="s">
        <v>13</v>
      </c>
      <c r="O4" s="428" t="s">
        <v>14</v>
      </c>
      <c r="P4" s="344" t="s">
        <v>15</v>
      </c>
      <c r="Q4" s="398" t="s">
        <v>204</v>
      </c>
      <c r="R4" s="398" t="s">
        <v>205</v>
      </c>
      <c r="S4" s="429" t="s">
        <v>206</v>
      </c>
    </row>
    <row r="5" spans="1:19" s="435" customFormat="1" ht="25.5">
      <c r="A5" s="431" t="s">
        <v>16</v>
      </c>
      <c r="B5" s="432" t="s">
        <v>203</v>
      </c>
      <c r="C5" s="433">
        <v>30</v>
      </c>
      <c r="D5" s="345">
        <v>170</v>
      </c>
      <c r="E5" s="345">
        <v>205</v>
      </c>
      <c r="F5" s="345">
        <v>210</v>
      </c>
      <c r="G5" s="345">
        <v>142</v>
      </c>
      <c r="H5" s="345">
        <v>163</v>
      </c>
      <c r="I5" s="345">
        <v>102</v>
      </c>
      <c r="J5" s="345">
        <v>138</v>
      </c>
      <c r="K5" s="345">
        <v>123</v>
      </c>
      <c r="L5" s="345">
        <v>71</v>
      </c>
      <c r="M5" s="345">
        <v>159</v>
      </c>
      <c r="N5" s="345">
        <v>0</v>
      </c>
      <c r="O5" s="345">
        <v>92</v>
      </c>
      <c r="P5" s="345">
        <v>84</v>
      </c>
      <c r="Q5" s="399">
        <f>SUM(D5:P5)</f>
        <v>1659</v>
      </c>
      <c r="R5" s="399">
        <v>1607</v>
      </c>
      <c r="S5" s="434">
        <v>1398</v>
      </c>
    </row>
    <row r="6" spans="1:19" s="438" customFormat="1">
      <c r="A6" s="385"/>
      <c r="B6" s="386" t="s">
        <v>17</v>
      </c>
      <c r="C6" s="436"/>
      <c r="D6" s="345">
        <v>25</v>
      </c>
      <c r="E6" s="345">
        <v>87</v>
      </c>
      <c r="F6" s="345">
        <v>20</v>
      </c>
      <c r="G6" s="345">
        <v>95</v>
      </c>
      <c r="H6" s="345">
        <v>18</v>
      </c>
      <c r="I6" s="345">
        <v>15</v>
      </c>
      <c r="J6" s="345">
        <v>35</v>
      </c>
      <c r="K6" s="345">
        <v>108</v>
      </c>
      <c r="L6" s="345">
        <v>58</v>
      </c>
      <c r="M6" s="345">
        <v>25</v>
      </c>
      <c r="N6" s="345">
        <v>99</v>
      </c>
      <c r="O6" s="345">
        <v>15</v>
      </c>
      <c r="P6" s="345">
        <v>0</v>
      </c>
      <c r="Q6" s="408">
        <f>SUM(D6:P6)</f>
        <v>600</v>
      </c>
      <c r="R6" s="408">
        <v>592</v>
      </c>
      <c r="S6" s="437">
        <v>653</v>
      </c>
    </row>
    <row r="7" spans="1:19" s="444" customFormat="1" ht="15">
      <c r="A7" s="439"/>
      <c r="B7" s="440" t="s">
        <v>18</v>
      </c>
      <c r="C7" s="441"/>
      <c r="D7" s="346">
        <f>SUM(D5:D6)</f>
        <v>195</v>
      </c>
      <c r="E7" s="346">
        <f t="shared" ref="E7:P7" si="0">SUM(E5:E6)</f>
        <v>292</v>
      </c>
      <c r="F7" s="346">
        <f t="shared" si="0"/>
        <v>230</v>
      </c>
      <c r="G7" s="346">
        <f t="shared" si="0"/>
        <v>237</v>
      </c>
      <c r="H7" s="346">
        <f t="shared" si="0"/>
        <v>181</v>
      </c>
      <c r="I7" s="346">
        <f t="shared" si="0"/>
        <v>117</v>
      </c>
      <c r="J7" s="346">
        <f t="shared" si="0"/>
        <v>173</v>
      </c>
      <c r="K7" s="346">
        <f t="shared" si="0"/>
        <v>231</v>
      </c>
      <c r="L7" s="346">
        <f t="shared" si="0"/>
        <v>129</v>
      </c>
      <c r="M7" s="346">
        <f t="shared" si="0"/>
        <v>184</v>
      </c>
      <c r="N7" s="346">
        <f t="shared" si="0"/>
        <v>99</v>
      </c>
      <c r="O7" s="346">
        <f t="shared" si="0"/>
        <v>107</v>
      </c>
      <c r="P7" s="346">
        <f t="shared" si="0"/>
        <v>84</v>
      </c>
      <c r="Q7" s="442">
        <f>SUM(D7:P7)</f>
        <v>2259</v>
      </c>
      <c r="R7" s="442">
        <v>2199</v>
      </c>
      <c r="S7" s="443">
        <v>2051</v>
      </c>
    </row>
    <row r="8" spans="1:19">
      <c r="A8" s="445" t="s">
        <v>19</v>
      </c>
      <c r="B8" s="432" t="s">
        <v>20</v>
      </c>
      <c r="C8" s="446"/>
      <c r="D8" s="345">
        <v>171</v>
      </c>
      <c r="E8" s="345">
        <v>200</v>
      </c>
      <c r="F8" s="345">
        <v>204</v>
      </c>
      <c r="G8" s="345">
        <v>141</v>
      </c>
      <c r="H8" s="345">
        <v>154</v>
      </c>
      <c r="I8" s="345">
        <v>100</v>
      </c>
      <c r="J8" s="345">
        <v>138</v>
      </c>
      <c r="K8" s="345">
        <v>117</v>
      </c>
      <c r="L8" s="345">
        <v>72</v>
      </c>
      <c r="M8" s="345">
        <v>159</v>
      </c>
      <c r="N8" s="345">
        <v>5</v>
      </c>
      <c r="O8" s="345">
        <v>91</v>
      </c>
      <c r="P8" s="345">
        <v>84</v>
      </c>
      <c r="Q8" s="447">
        <f>SUM(D8:P8)</f>
        <v>1636</v>
      </c>
      <c r="R8" s="447">
        <v>1560</v>
      </c>
      <c r="S8" s="448">
        <v>1395</v>
      </c>
    </row>
    <row r="9" spans="1:19">
      <c r="A9" s="385"/>
      <c r="B9" s="386" t="s">
        <v>21</v>
      </c>
      <c r="C9" s="436"/>
      <c r="D9" s="345">
        <f>D6</f>
        <v>25</v>
      </c>
      <c r="E9" s="345">
        <f t="shared" ref="E9:P9" si="1">E6</f>
        <v>87</v>
      </c>
      <c r="F9" s="345">
        <f t="shared" si="1"/>
        <v>20</v>
      </c>
      <c r="G9" s="345">
        <f t="shared" si="1"/>
        <v>95</v>
      </c>
      <c r="H9" s="345">
        <f t="shared" si="1"/>
        <v>18</v>
      </c>
      <c r="I9" s="345">
        <f t="shared" si="1"/>
        <v>15</v>
      </c>
      <c r="J9" s="345">
        <f t="shared" si="1"/>
        <v>35</v>
      </c>
      <c r="K9" s="345">
        <f t="shared" si="1"/>
        <v>108</v>
      </c>
      <c r="L9" s="345">
        <f t="shared" si="1"/>
        <v>58</v>
      </c>
      <c r="M9" s="345">
        <f t="shared" si="1"/>
        <v>25</v>
      </c>
      <c r="N9" s="345">
        <f t="shared" si="1"/>
        <v>99</v>
      </c>
      <c r="O9" s="345">
        <f t="shared" si="1"/>
        <v>15</v>
      </c>
      <c r="P9" s="345">
        <f t="shared" si="1"/>
        <v>0</v>
      </c>
      <c r="Q9" s="399">
        <f>SUM(D9:P9)</f>
        <v>600</v>
      </c>
      <c r="R9" s="399">
        <v>592</v>
      </c>
      <c r="S9" s="449">
        <v>653</v>
      </c>
    </row>
    <row r="10" spans="1:19" s="452" customFormat="1" ht="15">
      <c r="A10" s="439"/>
      <c r="B10" s="440" t="s">
        <v>22</v>
      </c>
      <c r="C10" s="441"/>
      <c r="D10" s="347">
        <f>SUM(D8:D9)</f>
        <v>196</v>
      </c>
      <c r="E10" s="347">
        <f t="shared" ref="E10:P10" si="2">SUM(E8:E9)</f>
        <v>287</v>
      </c>
      <c r="F10" s="347">
        <f t="shared" si="2"/>
        <v>224</v>
      </c>
      <c r="G10" s="347">
        <f t="shared" si="2"/>
        <v>236</v>
      </c>
      <c r="H10" s="347">
        <f t="shared" si="2"/>
        <v>172</v>
      </c>
      <c r="I10" s="347">
        <f t="shared" si="2"/>
        <v>115</v>
      </c>
      <c r="J10" s="347">
        <f t="shared" si="2"/>
        <v>173</v>
      </c>
      <c r="K10" s="347">
        <f t="shared" si="2"/>
        <v>225</v>
      </c>
      <c r="L10" s="347">
        <f t="shared" si="2"/>
        <v>130</v>
      </c>
      <c r="M10" s="347">
        <f t="shared" si="2"/>
        <v>184</v>
      </c>
      <c r="N10" s="347">
        <f t="shared" si="2"/>
        <v>104</v>
      </c>
      <c r="O10" s="347">
        <f t="shared" si="2"/>
        <v>106</v>
      </c>
      <c r="P10" s="347">
        <f t="shared" si="2"/>
        <v>84</v>
      </c>
      <c r="Q10" s="450">
        <f>SUM(Q8:Q9)</f>
        <v>2236</v>
      </c>
      <c r="R10" s="450">
        <v>2152</v>
      </c>
      <c r="S10" s="451">
        <v>2048</v>
      </c>
    </row>
    <row r="11" spans="1:19" s="435" customFormat="1" ht="25.5">
      <c r="A11" s="431" t="s">
        <v>23</v>
      </c>
      <c r="B11" s="432" t="s">
        <v>24</v>
      </c>
      <c r="C11" s="453"/>
      <c r="D11" s="345">
        <v>111</v>
      </c>
      <c r="E11" s="345">
        <v>122</v>
      </c>
      <c r="F11" s="345">
        <v>120</v>
      </c>
      <c r="G11" s="345">
        <v>106</v>
      </c>
      <c r="H11" s="345">
        <v>101</v>
      </c>
      <c r="I11" s="345">
        <v>57</v>
      </c>
      <c r="J11" s="345">
        <v>89</v>
      </c>
      <c r="K11" s="345">
        <v>64</v>
      </c>
      <c r="L11" s="345">
        <v>43</v>
      </c>
      <c r="M11" s="345">
        <v>90</v>
      </c>
      <c r="N11" s="345">
        <v>2</v>
      </c>
      <c r="O11" s="345">
        <v>53</v>
      </c>
      <c r="P11" s="345">
        <v>42</v>
      </c>
      <c r="Q11" s="454">
        <f>SUM(D11:P11)</f>
        <v>1000</v>
      </c>
      <c r="R11" s="454">
        <v>987</v>
      </c>
      <c r="S11" s="455">
        <v>925</v>
      </c>
    </row>
    <row r="12" spans="1:19" s="438" customFormat="1">
      <c r="A12" s="385"/>
      <c r="B12" s="386" t="s">
        <v>25</v>
      </c>
      <c r="C12" s="436"/>
      <c r="D12" s="345">
        <v>6</v>
      </c>
      <c r="E12" s="345">
        <v>44</v>
      </c>
      <c r="F12" s="345">
        <v>20</v>
      </c>
      <c r="G12" s="345">
        <v>3</v>
      </c>
      <c r="H12" s="345">
        <v>11</v>
      </c>
      <c r="I12" s="345">
        <v>19</v>
      </c>
      <c r="J12" s="345">
        <v>8</v>
      </c>
      <c r="K12" s="345">
        <v>39</v>
      </c>
      <c r="L12" s="345">
        <v>26</v>
      </c>
      <c r="M12" s="345">
        <v>27</v>
      </c>
      <c r="N12" s="345">
        <v>1</v>
      </c>
      <c r="O12" s="345">
        <v>24</v>
      </c>
      <c r="P12" s="345">
        <v>2</v>
      </c>
      <c r="Q12" s="388">
        <f>SUM(D12:P12)</f>
        <v>230</v>
      </c>
      <c r="R12" s="388">
        <v>179</v>
      </c>
      <c r="S12" s="456">
        <v>109</v>
      </c>
    </row>
    <row r="13" spans="1:19" s="438" customFormat="1">
      <c r="A13" s="385"/>
      <c r="B13" s="457" t="s">
        <v>26</v>
      </c>
      <c r="C13" s="436"/>
      <c r="D13" s="348">
        <f>D11+D12</f>
        <v>117</v>
      </c>
      <c r="E13" s="348">
        <f t="shared" ref="E13:Q13" si="3">E11+E12</f>
        <v>166</v>
      </c>
      <c r="F13" s="348">
        <f t="shared" si="3"/>
        <v>140</v>
      </c>
      <c r="G13" s="348">
        <f t="shared" si="3"/>
        <v>109</v>
      </c>
      <c r="H13" s="348">
        <f t="shared" si="3"/>
        <v>112</v>
      </c>
      <c r="I13" s="348">
        <f t="shared" si="3"/>
        <v>76</v>
      </c>
      <c r="J13" s="348">
        <f t="shared" si="3"/>
        <v>97</v>
      </c>
      <c r="K13" s="348">
        <f t="shared" si="3"/>
        <v>103</v>
      </c>
      <c r="L13" s="348">
        <f t="shared" si="3"/>
        <v>69</v>
      </c>
      <c r="M13" s="348">
        <f t="shared" si="3"/>
        <v>117</v>
      </c>
      <c r="N13" s="348">
        <f t="shared" si="3"/>
        <v>3</v>
      </c>
      <c r="O13" s="348">
        <f t="shared" si="3"/>
        <v>77</v>
      </c>
      <c r="P13" s="348">
        <f t="shared" si="3"/>
        <v>44</v>
      </c>
      <c r="Q13" s="388">
        <f t="shared" si="3"/>
        <v>1230</v>
      </c>
      <c r="R13" s="388">
        <v>1166</v>
      </c>
      <c r="S13" s="456">
        <v>1034</v>
      </c>
    </row>
    <row r="14" spans="1:19" s="438" customFormat="1">
      <c r="A14" s="458"/>
      <c r="B14" s="459" t="s">
        <v>27</v>
      </c>
      <c r="C14" s="460"/>
      <c r="D14" s="349">
        <f t="shared" ref="D14:Q14" si="4">D12/D8*100</f>
        <v>3.5087719298245612</v>
      </c>
      <c r="E14" s="349">
        <f t="shared" si="4"/>
        <v>22</v>
      </c>
      <c r="F14" s="349">
        <f t="shared" si="4"/>
        <v>9.8039215686274517</v>
      </c>
      <c r="G14" s="349">
        <f t="shared" si="4"/>
        <v>2.1276595744680851</v>
      </c>
      <c r="H14" s="349">
        <f t="shared" si="4"/>
        <v>7.1428571428571423</v>
      </c>
      <c r="I14" s="349">
        <f t="shared" si="4"/>
        <v>19</v>
      </c>
      <c r="J14" s="349">
        <f t="shared" si="4"/>
        <v>5.7971014492753623</v>
      </c>
      <c r="K14" s="349">
        <f t="shared" si="4"/>
        <v>33.333333333333329</v>
      </c>
      <c r="L14" s="349">
        <f t="shared" si="4"/>
        <v>36.111111111111107</v>
      </c>
      <c r="M14" s="349">
        <f t="shared" si="4"/>
        <v>16.981132075471699</v>
      </c>
      <c r="N14" s="349">
        <f t="shared" si="4"/>
        <v>20</v>
      </c>
      <c r="O14" s="349">
        <f t="shared" si="4"/>
        <v>26.373626373626376</v>
      </c>
      <c r="P14" s="349">
        <f t="shared" si="4"/>
        <v>2.3809523809523809</v>
      </c>
      <c r="Q14" s="461">
        <f t="shared" si="4"/>
        <v>14.058679706601469</v>
      </c>
      <c r="R14" s="461">
        <v>11.474358974358974</v>
      </c>
      <c r="S14" s="462">
        <v>7.8136200716845874</v>
      </c>
    </row>
    <row r="15" spans="1:19" s="438" customFormat="1">
      <c r="A15" s="445" t="s">
        <v>28</v>
      </c>
      <c r="B15" s="457" t="s">
        <v>29</v>
      </c>
      <c r="C15" s="446"/>
      <c r="D15" s="345">
        <f>D11</f>
        <v>111</v>
      </c>
      <c r="E15" s="345">
        <f t="shared" ref="E15:P15" si="5">E11</f>
        <v>122</v>
      </c>
      <c r="F15" s="345">
        <f t="shared" si="5"/>
        <v>120</v>
      </c>
      <c r="G15" s="345">
        <f t="shared" si="5"/>
        <v>106</v>
      </c>
      <c r="H15" s="345">
        <f t="shared" si="5"/>
        <v>101</v>
      </c>
      <c r="I15" s="345">
        <f t="shared" si="5"/>
        <v>57</v>
      </c>
      <c r="J15" s="345">
        <f t="shared" si="5"/>
        <v>89</v>
      </c>
      <c r="K15" s="345">
        <f t="shared" si="5"/>
        <v>64</v>
      </c>
      <c r="L15" s="356">
        <f t="shared" si="5"/>
        <v>43</v>
      </c>
      <c r="M15" s="345">
        <f t="shared" si="5"/>
        <v>90</v>
      </c>
      <c r="N15" s="345">
        <f t="shared" si="5"/>
        <v>2</v>
      </c>
      <c r="O15" s="345">
        <f t="shared" si="5"/>
        <v>53</v>
      </c>
      <c r="P15" s="345">
        <f t="shared" si="5"/>
        <v>42</v>
      </c>
      <c r="Q15" s="463">
        <f>SUM(D15:P15)</f>
        <v>1000</v>
      </c>
      <c r="R15" s="463">
        <v>987</v>
      </c>
      <c r="S15" s="464">
        <v>925</v>
      </c>
    </row>
    <row r="16" spans="1:19" s="438" customFormat="1">
      <c r="A16" s="385"/>
      <c r="B16" s="386" t="s">
        <v>21</v>
      </c>
      <c r="C16" s="436"/>
      <c r="D16" s="345">
        <v>16</v>
      </c>
      <c r="E16" s="345">
        <v>58</v>
      </c>
      <c r="F16" s="345">
        <v>13</v>
      </c>
      <c r="G16" s="345">
        <v>73</v>
      </c>
      <c r="H16" s="345">
        <v>13</v>
      </c>
      <c r="I16" s="345">
        <v>11</v>
      </c>
      <c r="J16" s="345">
        <v>25</v>
      </c>
      <c r="K16" s="345">
        <v>79</v>
      </c>
      <c r="L16" s="345">
        <v>52</v>
      </c>
      <c r="M16" s="345">
        <v>15</v>
      </c>
      <c r="N16" s="345">
        <v>79</v>
      </c>
      <c r="O16" s="345">
        <v>7</v>
      </c>
      <c r="P16" s="345">
        <v>0</v>
      </c>
      <c r="Q16" s="388">
        <f>SUM(D16:P16)</f>
        <v>441</v>
      </c>
      <c r="R16" s="388">
        <v>435.14516129032256</v>
      </c>
      <c r="S16" s="456">
        <v>401</v>
      </c>
    </row>
    <row r="17" spans="1:19" s="444" customFormat="1" ht="15">
      <c r="A17" s="439"/>
      <c r="B17" s="465" t="s">
        <v>30</v>
      </c>
      <c r="C17" s="441"/>
      <c r="D17" s="347">
        <f t="shared" ref="D17:Q17" si="6">SUM(D15:D16)</f>
        <v>127</v>
      </c>
      <c r="E17" s="347">
        <f t="shared" si="6"/>
        <v>180</v>
      </c>
      <c r="F17" s="347">
        <f t="shared" si="6"/>
        <v>133</v>
      </c>
      <c r="G17" s="347">
        <f t="shared" si="6"/>
        <v>179</v>
      </c>
      <c r="H17" s="347">
        <f t="shared" si="6"/>
        <v>114</v>
      </c>
      <c r="I17" s="347">
        <f t="shared" si="6"/>
        <v>68</v>
      </c>
      <c r="J17" s="347">
        <f t="shared" si="6"/>
        <v>114</v>
      </c>
      <c r="K17" s="347">
        <f t="shared" si="6"/>
        <v>143</v>
      </c>
      <c r="L17" s="347">
        <f t="shared" si="6"/>
        <v>95</v>
      </c>
      <c r="M17" s="347">
        <f t="shared" si="6"/>
        <v>105</v>
      </c>
      <c r="N17" s="347">
        <f t="shared" si="6"/>
        <v>81</v>
      </c>
      <c r="O17" s="347">
        <f t="shared" si="6"/>
        <v>60</v>
      </c>
      <c r="P17" s="347">
        <f t="shared" si="6"/>
        <v>42</v>
      </c>
      <c r="Q17" s="450">
        <f t="shared" si="6"/>
        <v>1441</v>
      </c>
      <c r="R17" s="450">
        <v>1422.1451612903224</v>
      </c>
      <c r="S17" s="451">
        <v>1326</v>
      </c>
    </row>
    <row r="18" spans="1:19" s="435" customFormat="1" ht="25.5">
      <c r="A18" s="431">
        <v>3</v>
      </c>
      <c r="B18" s="432" t="s">
        <v>31</v>
      </c>
      <c r="C18" s="453"/>
      <c r="D18" s="350">
        <f>D8-D11</f>
        <v>60</v>
      </c>
      <c r="E18" s="350">
        <f t="shared" ref="E18:Q18" si="7">E8-E11</f>
        <v>78</v>
      </c>
      <c r="F18" s="350">
        <f t="shared" si="7"/>
        <v>84</v>
      </c>
      <c r="G18" s="350">
        <f t="shared" si="7"/>
        <v>35</v>
      </c>
      <c r="H18" s="350">
        <f t="shared" si="7"/>
        <v>53</v>
      </c>
      <c r="I18" s="350">
        <f t="shared" si="7"/>
        <v>43</v>
      </c>
      <c r="J18" s="350">
        <f t="shared" si="7"/>
        <v>49</v>
      </c>
      <c r="K18" s="350">
        <f t="shared" si="7"/>
        <v>53</v>
      </c>
      <c r="L18" s="350">
        <f t="shared" si="7"/>
        <v>29</v>
      </c>
      <c r="M18" s="350">
        <f t="shared" si="7"/>
        <v>69</v>
      </c>
      <c r="N18" s="350">
        <f t="shared" si="7"/>
        <v>3</v>
      </c>
      <c r="O18" s="350">
        <f t="shared" si="7"/>
        <v>38</v>
      </c>
      <c r="P18" s="350">
        <f t="shared" si="7"/>
        <v>42</v>
      </c>
      <c r="Q18" s="408">
        <f t="shared" si="7"/>
        <v>636</v>
      </c>
      <c r="R18" s="408">
        <v>573</v>
      </c>
      <c r="S18" s="437">
        <v>470</v>
      </c>
    </row>
    <row r="19" spans="1:19" s="438" customFormat="1">
      <c r="A19" s="385"/>
      <c r="B19" s="386" t="s">
        <v>21</v>
      </c>
      <c r="C19" s="436"/>
      <c r="D19" s="384">
        <f t="shared" ref="D19:Q19" si="8">D6-D16</f>
        <v>9</v>
      </c>
      <c r="E19" s="384">
        <f t="shared" si="8"/>
        <v>29</v>
      </c>
      <c r="F19" s="384">
        <f t="shared" si="8"/>
        <v>7</v>
      </c>
      <c r="G19" s="384">
        <f t="shared" si="8"/>
        <v>22</v>
      </c>
      <c r="H19" s="384">
        <f t="shared" si="8"/>
        <v>5</v>
      </c>
      <c r="I19" s="384">
        <f t="shared" si="8"/>
        <v>4</v>
      </c>
      <c r="J19" s="384">
        <f t="shared" si="8"/>
        <v>10</v>
      </c>
      <c r="K19" s="384">
        <f t="shared" si="8"/>
        <v>29</v>
      </c>
      <c r="L19" s="384">
        <f t="shared" si="8"/>
        <v>6</v>
      </c>
      <c r="M19" s="384">
        <f t="shared" si="8"/>
        <v>10</v>
      </c>
      <c r="N19" s="384">
        <f t="shared" si="8"/>
        <v>20</v>
      </c>
      <c r="O19" s="384">
        <f t="shared" si="8"/>
        <v>8</v>
      </c>
      <c r="P19" s="384">
        <f t="shared" si="8"/>
        <v>0</v>
      </c>
      <c r="Q19" s="466">
        <f t="shared" si="8"/>
        <v>159</v>
      </c>
      <c r="R19" s="466">
        <v>156.85483870967744</v>
      </c>
      <c r="S19" s="437">
        <v>252</v>
      </c>
    </row>
    <row r="20" spans="1:19" s="438" customFormat="1">
      <c r="A20" s="385"/>
      <c r="B20" s="467" t="s">
        <v>32</v>
      </c>
      <c r="C20" s="436"/>
      <c r="D20" s="348">
        <f t="shared" ref="D20:P20" si="9">SUM(D18:D19)</f>
        <v>69</v>
      </c>
      <c r="E20" s="348">
        <f t="shared" si="9"/>
        <v>107</v>
      </c>
      <c r="F20" s="348">
        <f t="shared" si="9"/>
        <v>91</v>
      </c>
      <c r="G20" s="348">
        <f t="shared" si="9"/>
        <v>57</v>
      </c>
      <c r="H20" s="348">
        <f t="shared" si="9"/>
        <v>58</v>
      </c>
      <c r="I20" s="348">
        <f>SUM(I18:I19)</f>
        <v>47</v>
      </c>
      <c r="J20" s="348">
        <f>SUM(J18:J19)</f>
        <v>59</v>
      </c>
      <c r="K20" s="348">
        <f t="shared" si="9"/>
        <v>82</v>
      </c>
      <c r="L20" s="348">
        <f t="shared" si="9"/>
        <v>35</v>
      </c>
      <c r="M20" s="348">
        <f>SUM(M18:M19)</f>
        <v>79</v>
      </c>
      <c r="N20" s="348">
        <f t="shared" si="9"/>
        <v>23</v>
      </c>
      <c r="O20" s="348">
        <f t="shared" si="9"/>
        <v>46</v>
      </c>
      <c r="P20" s="348">
        <f t="shared" si="9"/>
        <v>42</v>
      </c>
      <c r="Q20" s="388">
        <f>SUM(D20:P20)</f>
        <v>795</v>
      </c>
      <c r="R20" s="388">
        <v>729.85483870967744</v>
      </c>
      <c r="S20" s="456">
        <v>722</v>
      </c>
    </row>
    <row r="21" spans="1:19" s="438" customFormat="1" ht="17.25" customHeight="1">
      <c r="A21" s="385"/>
      <c r="B21" s="386" t="s">
        <v>33</v>
      </c>
      <c r="C21" s="436"/>
      <c r="D21" s="345">
        <v>54</v>
      </c>
      <c r="E21" s="345">
        <v>34</v>
      </c>
      <c r="F21" s="345">
        <v>65</v>
      </c>
      <c r="G21" s="345">
        <v>32</v>
      </c>
      <c r="H21" s="345">
        <v>42</v>
      </c>
      <c r="I21" s="345">
        <v>24</v>
      </c>
      <c r="J21" s="345">
        <v>41</v>
      </c>
      <c r="K21" s="345">
        <v>14</v>
      </c>
      <c r="L21" s="345">
        <v>2</v>
      </c>
      <c r="M21" s="345">
        <v>42</v>
      </c>
      <c r="N21" s="345">
        <v>2</v>
      </c>
      <c r="O21" s="345">
        <v>15</v>
      </c>
      <c r="P21" s="345">
        <v>40</v>
      </c>
      <c r="Q21" s="388">
        <f>SUM(D21:P21)</f>
        <v>407</v>
      </c>
      <c r="R21" s="388">
        <v>393</v>
      </c>
      <c r="S21" s="456">
        <v>361</v>
      </c>
    </row>
    <row r="22" spans="1:19" s="435" customFormat="1" ht="16.5" customHeight="1">
      <c r="A22" s="468"/>
      <c r="B22" s="469" t="s">
        <v>34</v>
      </c>
      <c r="C22" s="470"/>
      <c r="D22" s="349">
        <f t="shared" ref="D22:Q22" si="10">SUM(D21/D8*100)</f>
        <v>31.578947368421051</v>
      </c>
      <c r="E22" s="349">
        <f t="shared" si="10"/>
        <v>17</v>
      </c>
      <c r="F22" s="349">
        <f t="shared" si="10"/>
        <v>31.862745098039213</v>
      </c>
      <c r="G22" s="349">
        <f t="shared" si="10"/>
        <v>22.695035460992909</v>
      </c>
      <c r="H22" s="349">
        <f t="shared" si="10"/>
        <v>27.27272727272727</v>
      </c>
      <c r="I22" s="349">
        <f t="shared" si="10"/>
        <v>24</v>
      </c>
      <c r="J22" s="349">
        <f t="shared" si="10"/>
        <v>29.710144927536231</v>
      </c>
      <c r="K22" s="349">
        <f t="shared" si="10"/>
        <v>11.965811965811966</v>
      </c>
      <c r="L22" s="349">
        <f t="shared" si="10"/>
        <v>2.7777777777777777</v>
      </c>
      <c r="M22" s="349">
        <f t="shared" si="10"/>
        <v>26.415094339622641</v>
      </c>
      <c r="N22" s="349">
        <f t="shared" si="10"/>
        <v>40</v>
      </c>
      <c r="O22" s="349">
        <f t="shared" si="10"/>
        <v>16.483516483516482</v>
      </c>
      <c r="P22" s="349">
        <f t="shared" si="10"/>
        <v>47.619047619047613</v>
      </c>
      <c r="Q22" s="461">
        <f t="shared" si="10"/>
        <v>24.877750611246942</v>
      </c>
      <c r="R22" s="461">
        <v>25.192307692307693</v>
      </c>
      <c r="S22" s="462">
        <v>25.878136200716845</v>
      </c>
    </row>
    <row r="23" spans="1:19" s="473" customFormat="1" ht="25.5">
      <c r="A23" s="431">
        <v>4</v>
      </c>
      <c r="B23" s="432" t="s">
        <v>207</v>
      </c>
      <c r="C23" s="471"/>
      <c r="D23" s="352">
        <f>D25-D24</f>
        <v>138.5</v>
      </c>
      <c r="E23" s="352">
        <f t="shared" ref="E23:S23" si="11">E25-E24</f>
        <v>130.69999999999999</v>
      </c>
      <c r="F23" s="352">
        <f t="shared" si="11"/>
        <v>146</v>
      </c>
      <c r="G23" s="352">
        <f t="shared" si="11"/>
        <v>126.5</v>
      </c>
      <c r="H23" s="352">
        <f t="shared" si="11"/>
        <v>111.8</v>
      </c>
      <c r="I23" s="352">
        <f t="shared" si="11"/>
        <v>69.5</v>
      </c>
      <c r="J23" s="352">
        <f t="shared" si="11"/>
        <v>94.5</v>
      </c>
      <c r="K23" s="352">
        <f t="shared" si="11"/>
        <v>89.8</v>
      </c>
      <c r="L23" s="352">
        <f t="shared" si="11"/>
        <v>48.8</v>
      </c>
      <c r="M23" s="352">
        <f t="shared" si="11"/>
        <v>101.5</v>
      </c>
      <c r="N23" s="352">
        <f t="shared" si="11"/>
        <v>0</v>
      </c>
      <c r="O23" s="352">
        <f t="shared" si="11"/>
        <v>52.5</v>
      </c>
      <c r="P23" s="352">
        <f t="shared" si="11"/>
        <v>42</v>
      </c>
      <c r="Q23" s="345">
        <f t="shared" si="11"/>
        <v>1150</v>
      </c>
      <c r="R23" s="352">
        <f t="shared" si="11"/>
        <v>1157.2</v>
      </c>
      <c r="S23" s="472">
        <f t="shared" si="11"/>
        <v>1097.3</v>
      </c>
    </row>
    <row r="24" spans="1:19" s="473" customFormat="1">
      <c r="A24" s="431"/>
      <c r="B24" s="432" t="s">
        <v>208</v>
      </c>
      <c r="C24" s="471"/>
      <c r="D24" s="352">
        <f>D9*90/100</f>
        <v>22.5</v>
      </c>
      <c r="E24" s="352">
        <f t="shared" ref="E24:S24" si="12">E9*90/100</f>
        <v>78.3</v>
      </c>
      <c r="F24" s="352">
        <f t="shared" si="12"/>
        <v>18</v>
      </c>
      <c r="G24" s="352">
        <f t="shared" si="12"/>
        <v>85.5</v>
      </c>
      <c r="H24" s="352">
        <f t="shared" si="12"/>
        <v>16.2</v>
      </c>
      <c r="I24" s="352">
        <f t="shared" si="12"/>
        <v>13.5</v>
      </c>
      <c r="J24" s="352">
        <f t="shared" si="12"/>
        <v>31.5</v>
      </c>
      <c r="K24" s="352">
        <f t="shared" si="12"/>
        <v>97.2</v>
      </c>
      <c r="L24" s="352">
        <f t="shared" si="12"/>
        <v>52.2</v>
      </c>
      <c r="M24" s="352">
        <f t="shared" si="12"/>
        <v>22.5</v>
      </c>
      <c r="N24" s="352">
        <v>88</v>
      </c>
      <c r="O24" s="352">
        <f t="shared" si="12"/>
        <v>13.5</v>
      </c>
      <c r="P24" s="352">
        <f t="shared" si="12"/>
        <v>0</v>
      </c>
      <c r="Q24" s="345">
        <f>Q9*90/100+1</f>
        <v>541</v>
      </c>
      <c r="R24" s="352">
        <f t="shared" si="12"/>
        <v>532.79999999999995</v>
      </c>
      <c r="S24" s="472">
        <f t="shared" si="12"/>
        <v>587.70000000000005</v>
      </c>
    </row>
    <row r="25" spans="1:19" s="473" customFormat="1">
      <c r="A25" s="431"/>
      <c r="B25" s="432" t="s">
        <v>22</v>
      </c>
      <c r="C25" s="471"/>
      <c r="D25" s="345">
        <v>161</v>
      </c>
      <c r="E25" s="345">
        <v>209</v>
      </c>
      <c r="F25" s="345">
        <v>164</v>
      </c>
      <c r="G25" s="345">
        <v>212</v>
      </c>
      <c r="H25" s="345">
        <v>128</v>
      </c>
      <c r="I25" s="345">
        <v>83</v>
      </c>
      <c r="J25" s="345">
        <v>126</v>
      </c>
      <c r="K25" s="345">
        <v>187</v>
      </c>
      <c r="L25" s="345">
        <v>101</v>
      </c>
      <c r="M25" s="345">
        <v>124</v>
      </c>
      <c r="N25" s="345">
        <v>88</v>
      </c>
      <c r="O25" s="345">
        <v>66</v>
      </c>
      <c r="P25" s="345">
        <v>42</v>
      </c>
      <c r="Q25" s="345">
        <f>SUM(D25:P25)</f>
        <v>1691</v>
      </c>
      <c r="R25" s="345">
        <v>1690</v>
      </c>
      <c r="S25" s="474">
        <v>1685</v>
      </c>
    </row>
    <row r="26" spans="1:19" s="435" customFormat="1" ht="27" customHeight="1">
      <c r="A26" s="431">
        <v>5</v>
      </c>
      <c r="B26" s="432" t="s">
        <v>174</v>
      </c>
      <c r="C26" s="453"/>
      <c r="D26" s="345">
        <v>108</v>
      </c>
      <c r="E26" s="345">
        <v>112</v>
      </c>
      <c r="F26" s="345">
        <v>116</v>
      </c>
      <c r="G26" s="345">
        <v>102</v>
      </c>
      <c r="H26" s="345">
        <v>97</v>
      </c>
      <c r="I26" s="345">
        <v>55</v>
      </c>
      <c r="J26" s="345">
        <v>87</v>
      </c>
      <c r="K26" s="345">
        <v>64</v>
      </c>
      <c r="L26" s="345">
        <v>42</v>
      </c>
      <c r="M26" s="345">
        <v>89</v>
      </c>
      <c r="N26" s="345">
        <v>2</v>
      </c>
      <c r="O26" s="345">
        <v>52</v>
      </c>
      <c r="P26" s="345">
        <v>42</v>
      </c>
      <c r="Q26" s="463">
        <f t="shared" ref="Q26:Q31" si="13">SUM(D26:P26)</f>
        <v>968</v>
      </c>
      <c r="R26" s="463">
        <v>950</v>
      </c>
      <c r="S26" s="464">
        <v>914</v>
      </c>
    </row>
    <row r="27" spans="1:19" s="438" customFormat="1" ht="15.95" customHeight="1">
      <c r="A27" s="385"/>
      <c r="B27" s="386" t="s">
        <v>37</v>
      </c>
      <c r="C27" s="436"/>
      <c r="D27" s="345">
        <v>16</v>
      </c>
      <c r="E27" s="345">
        <v>58</v>
      </c>
      <c r="F27" s="345">
        <v>13</v>
      </c>
      <c r="G27" s="345">
        <v>73</v>
      </c>
      <c r="H27" s="345">
        <v>13</v>
      </c>
      <c r="I27" s="345">
        <v>11</v>
      </c>
      <c r="J27" s="345">
        <v>25</v>
      </c>
      <c r="K27" s="345">
        <v>79</v>
      </c>
      <c r="L27" s="345">
        <v>52</v>
      </c>
      <c r="M27" s="345">
        <v>15</v>
      </c>
      <c r="N27" s="345">
        <v>79</v>
      </c>
      <c r="O27" s="345">
        <v>7</v>
      </c>
      <c r="P27" s="345">
        <v>0</v>
      </c>
      <c r="Q27" s="463">
        <f t="shared" si="13"/>
        <v>441</v>
      </c>
      <c r="R27" s="388">
        <v>435</v>
      </c>
      <c r="S27" s="456">
        <v>401</v>
      </c>
    </row>
    <row r="28" spans="1:19" s="438" customFormat="1" ht="15.95" customHeight="1">
      <c r="A28" s="458"/>
      <c r="B28" s="459" t="s">
        <v>38</v>
      </c>
      <c r="C28" s="460"/>
      <c r="D28" s="351">
        <f t="shared" ref="D28:P28" si="14">SUM(D26:D27)</f>
        <v>124</v>
      </c>
      <c r="E28" s="351">
        <f t="shared" si="14"/>
        <v>170</v>
      </c>
      <c r="F28" s="351">
        <f t="shared" si="14"/>
        <v>129</v>
      </c>
      <c r="G28" s="351">
        <f t="shared" si="14"/>
        <v>175</v>
      </c>
      <c r="H28" s="351">
        <f t="shared" si="14"/>
        <v>110</v>
      </c>
      <c r="I28" s="351">
        <f>SUM(I26:I27)</f>
        <v>66</v>
      </c>
      <c r="J28" s="351">
        <f>SUM(J26:J27)</f>
        <v>112</v>
      </c>
      <c r="K28" s="351">
        <f t="shared" si="14"/>
        <v>143</v>
      </c>
      <c r="L28" s="351">
        <f t="shared" si="14"/>
        <v>94</v>
      </c>
      <c r="M28" s="351">
        <f>SUM(M26:M27)</f>
        <v>104</v>
      </c>
      <c r="N28" s="351">
        <f t="shared" si="14"/>
        <v>81</v>
      </c>
      <c r="O28" s="351">
        <f t="shared" si="14"/>
        <v>59</v>
      </c>
      <c r="P28" s="351">
        <f t="shared" si="14"/>
        <v>42</v>
      </c>
      <c r="Q28" s="475">
        <f t="shared" si="13"/>
        <v>1409</v>
      </c>
      <c r="R28" s="475">
        <f>SUM(R26:R27)</f>
        <v>1385</v>
      </c>
      <c r="S28" s="476">
        <v>1315</v>
      </c>
    </row>
    <row r="29" spans="1:19" s="444" customFormat="1" ht="15" thickBot="1">
      <c r="A29" s="477">
        <v>6</v>
      </c>
      <c r="B29" s="478" t="s">
        <v>39</v>
      </c>
      <c r="C29" s="479"/>
      <c r="D29" s="379">
        <v>999042</v>
      </c>
      <c r="E29" s="379">
        <v>1429359</v>
      </c>
      <c r="F29" s="379">
        <v>938520</v>
      </c>
      <c r="G29" s="379">
        <v>1259229</v>
      </c>
      <c r="H29" s="379">
        <v>912867</v>
      </c>
      <c r="I29" s="379">
        <v>478818</v>
      </c>
      <c r="J29" s="379">
        <v>746274</v>
      </c>
      <c r="K29" s="379">
        <v>1403019</v>
      </c>
      <c r="L29" s="379">
        <v>811404</v>
      </c>
      <c r="M29" s="379">
        <v>923779.5</v>
      </c>
      <c r="N29" s="379">
        <v>633672</v>
      </c>
      <c r="O29" s="379">
        <v>453858</v>
      </c>
      <c r="P29" s="379">
        <v>270603</v>
      </c>
      <c r="Q29" s="480">
        <f>SUM(D29:P29)</f>
        <v>11260444.5</v>
      </c>
      <c r="R29" s="481">
        <v>11667589.349999998</v>
      </c>
      <c r="S29" s="482">
        <v>11591344.5</v>
      </c>
    </row>
    <row r="30" spans="1:19" s="438" customFormat="1" ht="18" customHeight="1" thickTop="1">
      <c r="A30" s="445">
        <v>7</v>
      </c>
      <c r="B30" s="432" t="s">
        <v>40</v>
      </c>
      <c r="C30" s="446"/>
      <c r="D30" s="345">
        <v>348170</v>
      </c>
      <c r="E30" s="345">
        <v>53245</v>
      </c>
      <c r="F30" s="345">
        <v>345888</v>
      </c>
      <c r="G30" s="345">
        <f>314659+15689</f>
        <v>330348</v>
      </c>
      <c r="H30" s="345">
        <v>359083</v>
      </c>
      <c r="I30" s="345">
        <v>226329</v>
      </c>
      <c r="J30" s="345">
        <v>372658</v>
      </c>
      <c r="K30" s="345">
        <v>225287</v>
      </c>
      <c r="L30" s="345">
        <v>0</v>
      </c>
      <c r="M30" s="345">
        <v>88069</v>
      </c>
      <c r="N30" s="345">
        <v>0</v>
      </c>
      <c r="O30" s="345">
        <v>46306</v>
      </c>
      <c r="P30" s="345">
        <v>73955</v>
      </c>
      <c r="Q30" s="400">
        <f t="shared" si="13"/>
        <v>2469338</v>
      </c>
      <c r="R30" s="400">
        <v>2745094</v>
      </c>
      <c r="S30" s="483">
        <v>3769882</v>
      </c>
    </row>
    <row r="31" spans="1:19" s="438" customFormat="1" ht="18" customHeight="1">
      <c r="A31" s="385"/>
      <c r="B31" s="386" t="s">
        <v>41</v>
      </c>
      <c r="C31" s="436"/>
      <c r="D31" s="345">
        <v>304573</v>
      </c>
      <c r="E31" s="345">
        <v>748585</v>
      </c>
      <c r="F31" s="345">
        <v>316920</v>
      </c>
      <c r="G31" s="345">
        <v>264101</v>
      </c>
      <c r="H31" s="345">
        <v>323258</v>
      </c>
      <c r="I31" s="345">
        <v>118150</v>
      </c>
      <c r="J31" s="345">
        <v>110555</v>
      </c>
      <c r="K31" s="345">
        <v>224057</v>
      </c>
      <c r="L31" s="345">
        <v>321277</v>
      </c>
      <c r="M31" s="345">
        <v>558379</v>
      </c>
      <c r="N31" s="345">
        <v>9353</v>
      </c>
      <c r="O31" s="345">
        <v>287580</v>
      </c>
      <c r="P31" s="345">
        <v>192077</v>
      </c>
      <c r="Q31" s="400">
        <f t="shared" si="13"/>
        <v>3778865</v>
      </c>
      <c r="R31" s="400">
        <v>3318424</v>
      </c>
      <c r="S31" s="483">
        <v>2009651</v>
      </c>
    </row>
    <row r="32" spans="1:19" s="438" customFormat="1" ht="18" customHeight="1">
      <c r="A32" s="385"/>
      <c r="B32" s="386" t="s">
        <v>42</v>
      </c>
      <c r="C32" s="436"/>
      <c r="D32" s="345">
        <f t="shared" ref="D32:Q32" si="15">SUM(D30:D31)</f>
        <v>652743</v>
      </c>
      <c r="E32" s="345">
        <f t="shared" si="15"/>
        <v>801830</v>
      </c>
      <c r="F32" s="345">
        <f t="shared" si="15"/>
        <v>662808</v>
      </c>
      <c r="G32" s="345">
        <f t="shared" si="15"/>
        <v>594449</v>
      </c>
      <c r="H32" s="345">
        <f t="shared" si="15"/>
        <v>682341</v>
      </c>
      <c r="I32" s="345">
        <f t="shared" si="15"/>
        <v>344479</v>
      </c>
      <c r="J32" s="345">
        <f t="shared" si="15"/>
        <v>483213</v>
      </c>
      <c r="K32" s="345">
        <f t="shared" si="15"/>
        <v>449344</v>
      </c>
      <c r="L32" s="345">
        <f t="shared" si="15"/>
        <v>321277</v>
      </c>
      <c r="M32" s="345">
        <f t="shared" si="15"/>
        <v>646448</v>
      </c>
      <c r="N32" s="345">
        <f t="shared" si="15"/>
        <v>9353</v>
      </c>
      <c r="O32" s="345">
        <f t="shared" si="15"/>
        <v>333886</v>
      </c>
      <c r="P32" s="345">
        <f t="shared" si="15"/>
        <v>266032</v>
      </c>
      <c r="Q32" s="401">
        <f t="shared" si="15"/>
        <v>6248203</v>
      </c>
      <c r="R32" s="401">
        <v>6063518</v>
      </c>
      <c r="S32" s="484">
        <v>5779533</v>
      </c>
    </row>
    <row r="33" spans="1:19" s="438" customFormat="1" ht="18" customHeight="1">
      <c r="A33" s="485"/>
      <c r="B33" s="386" t="s">
        <v>43</v>
      </c>
      <c r="C33" s="436"/>
      <c r="D33" s="345">
        <f>21553+81210</f>
        <v>102763</v>
      </c>
      <c r="E33" s="345">
        <v>333794</v>
      </c>
      <c r="F33" s="345">
        <v>67402</v>
      </c>
      <c r="G33" s="345">
        <f>278056+171320</f>
        <v>449376</v>
      </c>
      <c r="H33" s="345">
        <v>62412</v>
      </c>
      <c r="I33" s="345">
        <f>54027+1562</f>
        <v>55589</v>
      </c>
      <c r="J33" s="345">
        <v>147431</v>
      </c>
      <c r="K33" s="345">
        <f>193908+185426</f>
        <v>379334</v>
      </c>
      <c r="L33" s="345">
        <f>391436+13417</f>
        <v>404853</v>
      </c>
      <c r="M33" s="345">
        <f>75771+26845</f>
        <v>102616</v>
      </c>
      <c r="N33" s="345">
        <f>49045</f>
        <v>49045</v>
      </c>
      <c r="O33" s="345">
        <f>34932+637</f>
        <v>35569</v>
      </c>
      <c r="P33" s="345">
        <v>0</v>
      </c>
      <c r="Q33" s="463">
        <f>SUM(D33:P33)</f>
        <v>2190184</v>
      </c>
      <c r="R33" s="463">
        <v>2324673</v>
      </c>
      <c r="S33" s="464">
        <v>2570613</v>
      </c>
    </row>
    <row r="34" spans="1:19" s="438" customFormat="1" ht="18" customHeight="1">
      <c r="A34" s="485"/>
      <c r="B34" s="386" t="s">
        <v>153</v>
      </c>
      <c r="C34" s="436"/>
      <c r="D34" s="345">
        <v>0</v>
      </c>
      <c r="E34" s="345">
        <v>0</v>
      </c>
      <c r="F34" s="345">
        <v>0</v>
      </c>
      <c r="G34" s="345">
        <v>0</v>
      </c>
      <c r="H34" s="345">
        <v>0</v>
      </c>
      <c r="I34" s="345">
        <v>0</v>
      </c>
      <c r="J34" s="345">
        <v>0</v>
      </c>
      <c r="K34" s="345">
        <v>185013</v>
      </c>
      <c r="L34" s="345">
        <v>0</v>
      </c>
      <c r="M34" s="345">
        <v>0</v>
      </c>
      <c r="N34" s="345">
        <v>457385</v>
      </c>
      <c r="O34" s="345">
        <v>0</v>
      </c>
      <c r="P34" s="345">
        <v>0</v>
      </c>
      <c r="Q34" s="463">
        <f>SUM(D34:P34)</f>
        <v>642398</v>
      </c>
      <c r="R34" s="463">
        <v>528790</v>
      </c>
      <c r="S34" s="486">
        <v>0</v>
      </c>
    </row>
    <row r="35" spans="1:19" s="438" customFormat="1" ht="18" customHeight="1">
      <c r="A35" s="485"/>
      <c r="B35" s="386" t="s">
        <v>150</v>
      </c>
      <c r="C35" s="436"/>
      <c r="D35" s="345">
        <f>SUM(D33:D34)</f>
        <v>102763</v>
      </c>
      <c r="E35" s="345">
        <f t="shared" ref="E35:Q35" si="16">SUM(E33:E34)</f>
        <v>333794</v>
      </c>
      <c r="F35" s="345">
        <f t="shared" si="16"/>
        <v>67402</v>
      </c>
      <c r="G35" s="345">
        <f t="shared" si="16"/>
        <v>449376</v>
      </c>
      <c r="H35" s="345">
        <f t="shared" si="16"/>
        <v>62412</v>
      </c>
      <c r="I35" s="345">
        <f t="shared" si="16"/>
        <v>55589</v>
      </c>
      <c r="J35" s="345">
        <f t="shared" si="16"/>
        <v>147431</v>
      </c>
      <c r="K35" s="345">
        <f t="shared" si="16"/>
        <v>564347</v>
      </c>
      <c r="L35" s="345">
        <f t="shared" si="16"/>
        <v>404853</v>
      </c>
      <c r="M35" s="345">
        <f t="shared" si="16"/>
        <v>102616</v>
      </c>
      <c r="N35" s="345">
        <f t="shared" si="16"/>
        <v>506430</v>
      </c>
      <c r="O35" s="345">
        <f t="shared" si="16"/>
        <v>35569</v>
      </c>
      <c r="P35" s="345">
        <f t="shared" si="16"/>
        <v>0</v>
      </c>
      <c r="Q35" s="399">
        <f t="shared" si="16"/>
        <v>2832582</v>
      </c>
      <c r="R35" s="399">
        <v>2853463</v>
      </c>
      <c r="S35" s="486">
        <v>2570613</v>
      </c>
    </row>
    <row r="36" spans="1:19" s="444" customFormat="1" ht="25.5">
      <c r="A36" s="487"/>
      <c r="B36" s="488" t="s">
        <v>175</v>
      </c>
      <c r="C36" s="489"/>
      <c r="D36" s="353">
        <f>D32+D35</f>
        <v>755506</v>
      </c>
      <c r="E36" s="353">
        <f t="shared" ref="E36:Q36" si="17">E32+E35</f>
        <v>1135624</v>
      </c>
      <c r="F36" s="353">
        <f t="shared" si="17"/>
        <v>730210</v>
      </c>
      <c r="G36" s="353">
        <f t="shared" si="17"/>
        <v>1043825</v>
      </c>
      <c r="H36" s="353">
        <f t="shared" si="17"/>
        <v>744753</v>
      </c>
      <c r="I36" s="353">
        <f t="shared" si="17"/>
        <v>400068</v>
      </c>
      <c r="J36" s="353">
        <f t="shared" si="17"/>
        <v>630644</v>
      </c>
      <c r="K36" s="353">
        <f t="shared" si="17"/>
        <v>1013691</v>
      </c>
      <c r="L36" s="353">
        <f t="shared" si="17"/>
        <v>726130</v>
      </c>
      <c r="M36" s="353">
        <f t="shared" si="17"/>
        <v>749064</v>
      </c>
      <c r="N36" s="353">
        <f t="shared" si="17"/>
        <v>515783</v>
      </c>
      <c r="O36" s="353">
        <f t="shared" si="17"/>
        <v>369455</v>
      </c>
      <c r="P36" s="353">
        <f t="shared" si="17"/>
        <v>266032</v>
      </c>
      <c r="Q36" s="490">
        <f t="shared" si="17"/>
        <v>9080785</v>
      </c>
      <c r="R36" s="490">
        <v>8916981</v>
      </c>
      <c r="S36" s="491">
        <v>8350146</v>
      </c>
    </row>
    <row r="37" spans="1:19" s="438" customFormat="1" ht="18.75" customHeight="1">
      <c r="A37" s="445"/>
      <c r="B37" s="432" t="s">
        <v>44</v>
      </c>
      <c r="C37" s="446"/>
      <c r="D37" s="354">
        <f>D36/C5</f>
        <v>25183.533333333333</v>
      </c>
      <c r="E37" s="354">
        <f>E36/C5</f>
        <v>37854.133333333331</v>
      </c>
      <c r="F37" s="354">
        <f>F36/C5</f>
        <v>24340.333333333332</v>
      </c>
      <c r="G37" s="354">
        <f>G36/C5</f>
        <v>34794.166666666664</v>
      </c>
      <c r="H37" s="354">
        <f>H36/C5</f>
        <v>24825.1</v>
      </c>
      <c r="I37" s="354">
        <f>I36/C5</f>
        <v>13335.6</v>
      </c>
      <c r="J37" s="354">
        <f>J36/C5</f>
        <v>21021.466666666667</v>
      </c>
      <c r="K37" s="354">
        <f>K36/C5</f>
        <v>33789.699999999997</v>
      </c>
      <c r="L37" s="354">
        <f>L36/C5</f>
        <v>24204.333333333332</v>
      </c>
      <c r="M37" s="354">
        <f>M36/C5</f>
        <v>24968.799999999999</v>
      </c>
      <c r="N37" s="354">
        <f>N36/C5</f>
        <v>17192.766666666666</v>
      </c>
      <c r="O37" s="354">
        <f>O36/C5</f>
        <v>12315.166666666666</v>
      </c>
      <c r="P37" s="354">
        <f>P36/C5</f>
        <v>8867.7333333333336</v>
      </c>
      <c r="Q37" s="463">
        <f>Q36/C5</f>
        <v>302692.83333333331</v>
      </c>
      <c r="R37" s="463">
        <f>R36/31</f>
        <v>287644.54838709679</v>
      </c>
      <c r="S37" s="464">
        <v>278338.2</v>
      </c>
    </row>
    <row r="38" spans="1:19" s="438" customFormat="1" ht="18.75" customHeight="1">
      <c r="A38" s="458"/>
      <c r="B38" s="459" t="s">
        <v>45</v>
      </c>
      <c r="C38" s="460"/>
      <c r="D38" s="355">
        <f t="shared" ref="D38:Q38" si="18">SUM((D37)/D17)</f>
        <v>198.29553805774279</v>
      </c>
      <c r="E38" s="355">
        <f t="shared" si="18"/>
        <v>210.30074074074074</v>
      </c>
      <c r="F38" s="355">
        <f t="shared" si="18"/>
        <v>183.01002506265664</v>
      </c>
      <c r="G38" s="355">
        <f t="shared" si="18"/>
        <v>194.38081936685288</v>
      </c>
      <c r="H38" s="355">
        <f t="shared" si="18"/>
        <v>217.76403508771929</v>
      </c>
      <c r="I38" s="355">
        <f t="shared" si="18"/>
        <v>196.11176470588236</v>
      </c>
      <c r="J38" s="355">
        <f t="shared" si="18"/>
        <v>184.39883040935672</v>
      </c>
      <c r="K38" s="355">
        <f t="shared" si="18"/>
        <v>236.29160839160838</v>
      </c>
      <c r="L38" s="355">
        <f t="shared" si="18"/>
        <v>254.78245614035086</v>
      </c>
      <c r="M38" s="355">
        <f t="shared" si="18"/>
        <v>237.79809523809524</v>
      </c>
      <c r="N38" s="355">
        <f t="shared" si="18"/>
        <v>212.25637860082304</v>
      </c>
      <c r="O38" s="355">
        <f t="shared" si="18"/>
        <v>205.25277777777777</v>
      </c>
      <c r="P38" s="355">
        <f t="shared" si="18"/>
        <v>211.13650793650794</v>
      </c>
      <c r="Q38" s="492">
        <f t="shared" si="18"/>
        <v>210.05748322923895</v>
      </c>
      <c r="R38" s="492">
        <v>202.26</v>
      </c>
      <c r="S38" s="493">
        <v>209.9081447963801</v>
      </c>
    </row>
    <row r="39" spans="1:19" s="438" customFormat="1">
      <c r="A39" s="445">
        <v>8</v>
      </c>
      <c r="B39" s="432" t="s">
        <v>46</v>
      </c>
      <c r="C39" s="44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400"/>
      <c r="R39" s="400"/>
      <c r="S39" s="464"/>
    </row>
    <row r="40" spans="1:19" s="438" customFormat="1" ht="18" customHeight="1">
      <c r="A40" s="485"/>
      <c r="B40" s="386" t="s">
        <v>47</v>
      </c>
      <c r="C40" s="436"/>
      <c r="D40" s="345">
        <v>4490</v>
      </c>
      <c r="E40" s="345">
        <v>1436</v>
      </c>
      <c r="F40" s="345">
        <v>10977</v>
      </c>
      <c r="G40" s="345">
        <f>14563+304</f>
        <v>14867</v>
      </c>
      <c r="H40" s="345">
        <v>3644</v>
      </c>
      <c r="I40" s="345">
        <v>6358</v>
      </c>
      <c r="J40" s="345">
        <v>4350</v>
      </c>
      <c r="K40" s="345">
        <v>3554</v>
      </c>
      <c r="L40" s="345">
        <v>0</v>
      </c>
      <c r="M40" s="345">
        <v>2024</v>
      </c>
      <c r="N40" s="345">
        <v>0</v>
      </c>
      <c r="O40" s="345">
        <v>918</v>
      </c>
      <c r="P40" s="345">
        <v>1716</v>
      </c>
      <c r="Q40" s="388">
        <f>SUM(D40:P40)</f>
        <v>54334</v>
      </c>
      <c r="R40" s="388">
        <v>57416</v>
      </c>
      <c r="S40" s="456">
        <v>68249</v>
      </c>
    </row>
    <row r="41" spans="1:19" s="438" customFormat="1" ht="18" customHeight="1">
      <c r="A41" s="485"/>
      <c r="B41" s="386" t="s">
        <v>48</v>
      </c>
      <c r="C41" s="436"/>
      <c r="D41" s="345">
        <v>3010</v>
      </c>
      <c r="E41" s="345">
        <v>17912</v>
      </c>
      <c r="F41" s="345">
        <v>14585</v>
      </c>
      <c r="G41" s="345">
        <v>3143</v>
      </c>
      <c r="H41" s="345">
        <v>3228</v>
      </c>
      <c r="I41" s="345">
        <v>683</v>
      </c>
      <c r="J41" s="345">
        <v>5008</v>
      </c>
      <c r="K41" s="345">
        <v>3764</v>
      </c>
      <c r="L41" s="345">
        <v>10075</v>
      </c>
      <c r="M41" s="345">
        <v>3108</v>
      </c>
      <c r="N41" s="345">
        <v>225</v>
      </c>
      <c r="O41" s="345">
        <v>4926</v>
      </c>
      <c r="P41" s="345">
        <v>6600</v>
      </c>
      <c r="Q41" s="388">
        <f>SUM(D41:P41)</f>
        <v>76267</v>
      </c>
      <c r="R41" s="388">
        <v>72954</v>
      </c>
      <c r="S41" s="456">
        <v>50039</v>
      </c>
    </row>
    <row r="42" spans="1:19" s="438" customFormat="1" ht="18" customHeight="1">
      <c r="A42" s="485"/>
      <c r="B42" s="386" t="s">
        <v>49</v>
      </c>
      <c r="C42" s="489"/>
      <c r="D42" s="357">
        <f t="shared" ref="D42:P42" si="19">SUM(D40:D41)</f>
        <v>7500</v>
      </c>
      <c r="E42" s="357">
        <f t="shared" si="19"/>
        <v>19348</v>
      </c>
      <c r="F42" s="357">
        <f t="shared" si="19"/>
        <v>25562</v>
      </c>
      <c r="G42" s="357">
        <f t="shared" si="19"/>
        <v>18010</v>
      </c>
      <c r="H42" s="357">
        <f t="shared" si="19"/>
        <v>6872</v>
      </c>
      <c r="I42" s="357">
        <f>SUM(I40:I41)</f>
        <v>7041</v>
      </c>
      <c r="J42" s="357">
        <f>SUM(J40:J41)</f>
        <v>9358</v>
      </c>
      <c r="K42" s="357">
        <f t="shared" si="19"/>
        <v>7318</v>
      </c>
      <c r="L42" s="357">
        <f t="shared" si="19"/>
        <v>10075</v>
      </c>
      <c r="M42" s="357">
        <f>SUM(M40:M41)</f>
        <v>5132</v>
      </c>
      <c r="N42" s="357">
        <f t="shared" si="19"/>
        <v>225</v>
      </c>
      <c r="O42" s="357">
        <f t="shared" si="19"/>
        <v>5844</v>
      </c>
      <c r="P42" s="357">
        <f t="shared" si="19"/>
        <v>8316</v>
      </c>
      <c r="Q42" s="490">
        <f>SUM(D42:P42)</f>
        <v>130601</v>
      </c>
      <c r="R42" s="490">
        <v>130370</v>
      </c>
      <c r="S42" s="491">
        <v>118288</v>
      </c>
    </row>
    <row r="43" spans="1:19" s="438" customFormat="1" ht="18" customHeight="1">
      <c r="A43" s="385"/>
      <c r="B43" s="386" t="s">
        <v>50</v>
      </c>
      <c r="C43" s="436"/>
      <c r="D43" s="358">
        <f t="shared" ref="D43:P43" si="20">ROUND((D40)/$C5,0)</f>
        <v>150</v>
      </c>
      <c r="E43" s="358">
        <f t="shared" si="20"/>
        <v>48</v>
      </c>
      <c r="F43" s="358">
        <f t="shared" si="20"/>
        <v>366</v>
      </c>
      <c r="G43" s="358">
        <f t="shared" si="20"/>
        <v>496</v>
      </c>
      <c r="H43" s="358">
        <f t="shared" si="20"/>
        <v>121</v>
      </c>
      <c r="I43" s="358">
        <f t="shared" si="20"/>
        <v>212</v>
      </c>
      <c r="J43" s="358">
        <f t="shared" si="20"/>
        <v>145</v>
      </c>
      <c r="K43" s="358">
        <f t="shared" si="20"/>
        <v>118</v>
      </c>
      <c r="L43" s="358">
        <f t="shared" si="20"/>
        <v>0</v>
      </c>
      <c r="M43" s="358">
        <f t="shared" si="20"/>
        <v>67</v>
      </c>
      <c r="N43" s="358">
        <f t="shared" si="20"/>
        <v>0</v>
      </c>
      <c r="O43" s="358">
        <f t="shared" si="20"/>
        <v>31</v>
      </c>
      <c r="P43" s="358">
        <f t="shared" si="20"/>
        <v>57</v>
      </c>
      <c r="Q43" s="388">
        <f>Q40/C5</f>
        <v>1811.1333333333334</v>
      </c>
      <c r="R43" s="388">
        <v>1852</v>
      </c>
      <c r="S43" s="456">
        <v>2274.9666666666667</v>
      </c>
    </row>
    <row r="44" spans="1:19" s="438" customFormat="1" ht="18" customHeight="1">
      <c r="A44" s="385"/>
      <c r="B44" s="386" t="s">
        <v>51</v>
      </c>
      <c r="C44" s="436"/>
      <c r="D44" s="348">
        <f>SUM(D41/C5)</f>
        <v>100.33333333333333</v>
      </c>
      <c r="E44" s="348">
        <f>SUM(E41/C5)</f>
        <v>597.06666666666672</v>
      </c>
      <c r="F44" s="348">
        <f>SUM(F41/C5)</f>
        <v>486.16666666666669</v>
      </c>
      <c r="G44" s="348">
        <f>SUM(G41/C5)</f>
        <v>104.76666666666667</v>
      </c>
      <c r="H44" s="348">
        <f>SUM(H41/C5)</f>
        <v>107.6</v>
      </c>
      <c r="I44" s="348">
        <f>SUM(I41/C5)</f>
        <v>22.766666666666666</v>
      </c>
      <c r="J44" s="348">
        <f>SUM(J41/C5)</f>
        <v>166.93333333333334</v>
      </c>
      <c r="K44" s="348">
        <f>SUM(K41/C5)</f>
        <v>125.46666666666667</v>
      </c>
      <c r="L44" s="348">
        <f>SUM(L41/C5)</f>
        <v>335.83333333333331</v>
      </c>
      <c r="M44" s="348">
        <f>SUM(M41/C5)</f>
        <v>103.6</v>
      </c>
      <c r="N44" s="348">
        <f>SUM(N41/C5)</f>
        <v>7.5</v>
      </c>
      <c r="O44" s="348">
        <f>SUM(O41/C5)</f>
        <v>164.2</v>
      </c>
      <c r="P44" s="348">
        <f>SUM(P41/C5)</f>
        <v>220</v>
      </c>
      <c r="Q44" s="388">
        <f>Q41/C5</f>
        <v>2542.2333333333331</v>
      </c>
      <c r="R44" s="388">
        <v>2353</v>
      </c>
      <c r="S44" s="456">
        <v>1667.9666666666667</v>
      </c>
    </row>
    <row r="45" spans="1:19" s="438" customFormat="1" ht="25.5">
      <c r="A45" s="385"/>
      <c r="B45" s="386" t="s">
        <v>52</v>
      </c>
      <c r="C45" s="436"/>
      <c r="D45" s="348">
        <f t="shared" ref="D45:P45" si="21">SUM(D43:D44)</f>
        <v>250.33333333333331</v>
      </c>
      <c r="E45" s="348">
        <f t="shared" si="21"/>
        <v>645.06666666666672</v>
      </c>
      <c r="F45" s="348">
        <f t="shared" si="21"/>
        <v>852.16666666666674</v>
      </c>
      <c r="G45" s="348">
        <f t="shared" si="21"/>
        <v>600.76666666666665</v>
      </c>
      <c r="H45" s="348">
        <f t="shared" si="21"/>
        <v>228.6</v>
      </c>
      <c r="I45" s="348">
        <f>SUM(I43:I44)</f>
        <v>234.76666666666665</v>
      </c>
      <c r="J45" s="348">
        <f>SUM(J43:J44)</f>
        <v>311.93333333333334</v>
      </c>
      <c r="K45" s="348">
        <f t="shared" si="21"/>
        <v>243.46666666666667</v>
      </c>
      <c r="L45" s="348">
        <f t="shared" si="21"/>
        <v>335.83333333333331</v>
      </c>
      <c r="M45" s="348">
        <f>SUM(M43:M44)</f>
        <v>170.6</v>
      </c>
      <c r="N45" s="348">
        <f t="shared" si="21"/>
        <v>7.5</v>
      </c>
      <c r="O45" s="348">
        <f t="shared" si="21"/>
        <v>195.2</v>
      </c>
      <c r="P45" s="348">
        <f t="shared" si="21"/>
        <v>277</v>
      </c>
      <c r="Q45" s="388">
        <f>Q42/C5</f>
        <v>4353.3666666666668</v>
      </c>
      <c r="R45" s="388">
        <v>4205</v>
      </c>
      <c r="S45" s="456">
        <v>3942.9333333333334</v>
      </c>
    </row>
    <row r="46" spans="1:19" s="438" customFormat="1">
      <c r="A46" s="385"/>
      <c r="B46" s="386" t="s">
        <v>53</v>
      </c>
      <c r="C46" s="436"/>
      <c r="D46" s="345">
        <v>14697</v>
      </c>
      <c r="E46" s="345">
        <v>16680</v>
      </c>
      <c r="F46" s="345">
        <v>14924</v>
      </c>
      <c r="G46" s="345">
        <v>12990</v>
      </c>
      <c r="H46" s="345">
        <v>7080</v>
      </c>
      <c r="I46" s="345">
        <v>6480</v>
      </c>
      <c r="J46" s="345">
        <v>2150</v>
      </c>
      <c r="K46" s="345">
        <v>4620</v>
      </c>
      <c r="L46" s="345">
        <v>3012</v>
      </c>
      <c r="M46" s="345">
        <v>7738</v>
      </c>
      <c r="N46" s="345">
        <v>150</v>
      </c>
      <c r="O46" s="345">
        <v>1800</v>
      </c>
      <c r="P46" s="345">
        <v>2384</v>
      </c>
      <c r="Q46" s="494">
        <f>SUM(D46:P46)</f>
        <v>94705</v>
      </c>
      <c r="R46" s="494">
        <v>96307</v>
      </c>
      <c r="S46" s="495">
        <v>95403</v>
      </c>
    </row>
    <row r="47" spans="1:19" s="438" customFormat="1">
      <c r="A47" s="496"/>
      <c r="B47" s="497" t="s">
        <v>54</v>
      </c>
      <c r="C47" s="498"/>
      <c r="D47" s="359">
        <f t="shared" ref="D47:P47" si="22">ROUND((D46)/$C5,0)</f>
        <v>490</v>
      </c>
      <c r="E47" s="359">
        <f t="shared" si="22"/>
        <v>556</v>
      </c>
      <c r="F47" s="359">
        <f t="shared" si="22"/>
        <v>497</v>
      </c>
      <c r="G47" s="359">
        <f t="shared" si="22"/>
        <v>433</v>
      </c>
      <c r="H47" s="359">
        <f t="shared" si="22"/>
        <v>236</v>
      </c>
      <c r="I47" s="359">
        <f t="shared" si="22"/>
        <v>216</v>
      </c>
      <c r="J47" s="359">
        <f t="shared" si="22"/>
        <v>72</v>
      </c>
      <c r="K47" s="359">
        <f t="shared" si="22"/>
        <v>154</v>
      </c>
      <c r="L47" s="359">
        <f t="shared" si="22"/>
        <v>100</v>
      </c>
      <c r="M47" s="359">
        <f t="shared" si="22"/>
        <v>258</v>
      </c>
      <c r="N47" s="359">
        <f t="shared" si="22"/>
        <v>5</v>
      </c>
      <c r="O47" s="359">
        <f t="shared" si="22"/>
        <v>60</v>
      </c>
      <c r="P47" s="359">
        <f t="shared" si="22"/>
        <v>79</v>
      </c>
      <c r="Q47" s="475">
        <f>Q46/C5</f>
        <v>3156.8333333333335</v>
      </c>
      <c r="R47" s="475">
        <v>3107</v>
      </c>
      <c r="S47" s="476">
        <v>3180.1</v>
      </c>
    </row>
    <row r="48" spans="1:19" ht="17.25" customHeight="1">
      <c r="A48" s="499">
        <v>9</v>
      </c>
      <c r="B48" s="500" t="s">
        <v>173</v>
      </c>
      <c r="C48" s="501"/>
      <c r="D48" s="345">
        <v>367357</v>
      </c>
      <c r="E48" s="345">
        <v>54681</v>
      </c>
      <c r="F48" s="345">
        <v>371434</v>
      </c>
      <c r="G48" s="345">
        <f>342212+15993</f>
        <v>358205</v>
      </c>
      <c r="H48" s="345">
        <v>368307</v>
      </c>
      <c r="I48" s="345">
        <v>239167</v>
      </c>
      <c r="J48" s="345">
        <v>379158</v>
      </c>
      <c r="K48" s="345">
        <v>233401</v>
      </c>
      <c r="L48" s="345">
        <v>0</v>
      </c>
      <c r="M48" s="345">
        <v>90093</v>
      </c>
      <c r="N48" s="345">
        <v>0</v>
      </c>
      <c r="O48" s="345">
        <v>48124</v>
      </c>
      <c r="P48" s="345">
        <v>76855</v>
      </c>
      <c r="Q48" s="463">
        <f>SUM(D48:P48)</f>
        <v>2586782</v>
      </c>
      <c r="R48" s="463">
        <v>2868042</v>
      </c>
      <c r="S48" s="464">
        <v>3903805</v>
      </c>
    </row>
    <row r="49" spans="1:19" ht="22.5" customHeight="1">
      <c r="A49" s="385"/>
      <c r="B49" s="432" t="s">
        <v>56</v>
      </c>
      <c r="C49" s="436"/>
      <c r="D49" s="345">
        <v>307583</v>
      </c>
      <c r="E49" s="345">
        <v>783177</v>
      </c>
      <c r="F49" s="345">
        <v>331860</v>
      </c>
      <c r="G49" s="345">
        <v>267244</v>
      </c>
      <c r="H49" s="345">
        <v>327986</v>
      </c>
      <c r="I49" s="345">
        <v>118833</v>
      </c>
      <c r="J49" s="345">
        <v>115563</v>
      </c>
      <c r="K49" s="345">
        <v>227881</v>
      </c>
      <c r="L49" s="345">
        <v>334364</v>
      </c>
      <c r="M49" s="345">
        <v>569225</v>
      </c>
      <c r="N49" s="345">
        <v>9728</v>
      </c>
      <c r="O49" s="345">
        <v>293406</v>
      </c>
      <c r="P49" s="345">
        <v>199877</v>
      </c>
      <c r="Q49" s="388">
        <f>SUM(D49:P49)</f>
        <v>3886727</v>
      </c>
      <c r="R49" s="388">
        <v>3422153</v>
      </c>
      <c r="S49" s="456">
        <v>2089419</v>
      </c>
    </row>
    <row r="50" spans="1:19" s="473" customFormat="1" ht="18.75" customHeight="1">
      <c r="A50" s="502"/>
      <c r="B50" s="503" t="s">
        <v>187</v>
      </c>
      <c r="C50" s="471"/>
      <c r="D50" s="360">
        <f t="shared" ref="D50:P50" si="23">SUM(D48:D49)</f>
        <v>674940</v>
      </c>
      <c r="E50" s="360">
        <f t="shared" si="23"/>
        <v>837858</v>
      </c>
      <c r="F50" s="360">
        <f t="shared" si="23"/>
        <v>703294</v>
      </c>
      <c r="G50" s="360">
        <f t="shared" si="23"/>
        <v>625449</v>
      </c>
      <c r="H50" s="360">
        <f t="shared" si="23"/>
        <v>696293</v>
      </c>
      <c r="I50" s="360">
        <f>SUM(I48:I49)</f>
        <v>358000</v>
      </c>
      <c r="J50" s="360">
        <f>SUM(J48:J49)</f>
        <v>494721</v>
      </c>
      <c r="K50" s="360">
        <f t="shared" si="23"/>
        <v>461282</v>
      </c>
      <c r="L50" s="360">
        <f t="shared" si="23"/>
        <v>334364</v>
      </c>
      <c r="M50" s="360">
        <f>SUM(M48:M49)</f>
        <v>659318</v>
      </c>
      <c r="N50" s="360">
        <f t="shared" si="23"/>
        <v>9728</v>
      </c>
      <c r="O50" s="360">
        <f t="shared" si="23"/>
        <v>341530</v>
      </c>
      <c r="P50" s="360">
        <f t="shared" si="23"/>
        <v>276732</v>
      </c>
      <c r="Q50" s="504">
        <f>SUM(D50:P50)</f>
        <v>6473509</v>
      </c>
      <c r="R50" s="504">
        <v>6290195</v>
      </c>
      <c r="S50" s="505">
        <v>5993224</v>
      </c>
    </row>
    <row r="51" spans="1:19" ht="25.5">
      <c r="A51" s="445"/>
      <c r="B51" s="432" t="s">
        <v>58</v>
      </c>
      <c r="C51" s="446"/>
      <c r="D51" s="354">
        <f>SUM(D48/C5)</f>
        <v>12245.233333333334</v>
      </c>
      <c r="E51" s="354">
        <f>SUM(E48/C5)</f>
        <v>1822.7</v>
      </c>
      <c r="F51" s="354">
        <f>SUM(F48/C5)</f>
        <v>12381.133333333333</v>
      </c>
      <c r="G51" s="354">
        <f>SUM(G48/C5)</f>
        <v>11940.166666666666</v>
      </c>
      <c r="H51" s="354">
        <f>SUM(H48/C5)</f>
        <v>12276.9</v>
      </c>
      <c r="I51" s="354">
        <f>SUM(I48/C5)</f>
        <v>7972.2333333333336</v>
      </c>
      <c r="J51" s="354">
        <f>SUM(J48/C5)</f>
        <v>12638.6</v>
      </c>
      <c r="K51" s="354">
        <f>SUM(K48/C5)</f>
        <v>7780.0333333333338</v>
      </c>
      <c r="L51" s="354">
        <f>SUM(L48/C5)</f>
        <v>0</v>
      </c>
      <c r="M51" s="354">
        <f>SUM(M48/C5)</f>
        <v>3003.1</v>
      </c>
      <c r="N51" s="354">
        <f>SUM(N48/C5)</f>
        <v>0</v>
      </c>
      <c r="O51" s="354">
        <f>SUM(O48/C5)</f>
        <v>1604.1333333333334</v>
      </c>
      <c r="P51" s="354">
        <f>SUM(P48/C5)</f>
        <v>2561.8333333333335</v>
      </c>
      <c r="Q51" s="463">
        <f>Q48/C5</f>
        <v>86226.066666666666</v>
      </c>
      <c r="R51" s="463">
        <v>92517</v>
      </c>
      <c r="S51" s="464">
        <v>130126.83333333333</v>
      </c>
    </row>
    <row r="52" spans="1:19" ht="18" customHeight="1">
      <c r="A52" s="385"/>
      <c r="B52" s="432" t="s">
        <v>59</v>
      </c>
      <c r="C52" s="436"/>
      <c r="D52" s="348">
        <f>SUM(D49/C5)</f>
        <v>10252.766666666666</v>
      </c>
      <c r="E52" s="348">
        <f>SUM(E49/C5)</f>
        <v>26105.9</v>
      </c>
      <c r="F52" s="348">
        <f>SUM(F49/C5)</f>
        <v>11062</v>
      </c>
      <c r="G52" s="348">
        <f>SUM(G49/C5)</f>
        <v>8908.1333333333332</v>
      </c>
      <c r="H52" s="348">
        <f>SUM(H49/C5)</f>
        <v>10932.866666666667</v>
      </c>
      <c r="I52" s="348">
        <f>SUM(I49/C5)</f>
        <v>3961.1</v>
      </c>
      <c r="J52" s="348">
        <f>SUM(J49/C5)</f>
        <v>3852.1</v>
      </c>
      <c r="K52" s="348">
        <f>SUM(K49/C5)</f>
        <v>7596.0333333333338</v>
      </c>
      <c r="L52" s="348">
        <f>SUM(L49/C5)</f>
        <v>11145.466666666667</v>
      </c>
      <c r="M52" s="348">
        <f>SUM(M49/C5)</f>
        <v>18974.166666666668</v>
      </c>
      <c r="N52" s="348">
        <f>SUM(N49/C5)</f>
        <v>324.26666666666665</v>
      </c>
      <c r="O52" s="348">
        <f>SUM(O49/C5)</f>
        <v>9780.2000000000007</v>
      </c>
      <c r="P52" s="348">
        <f>SUM(P49/C5)</f>
        <v>6662.5666666666666</v>
      </c>
      <c r="Q52" s="388">
        <f>Q49/C5</f>
        <v>129557.56666666667</v>
      </c>
      <c r="R52" s="388">
        <v>110392</v>
      </c>
      <c r="S52" s="456">
        <v>69647.3</v>
      </c>
    </row>
    <row r="53" spans="1:19" ht="17.25" customHeight="1">
      <c r="A53" s="458"/>
      <c r="B53" s="459" t="s">
        <v>60</v>
      </c>
      <c r="C53" s="460"/>
      <c r="D53" s="351">
        <f t="shared" ref="D53:P53" si="24">SUM(D51:D52)</f>
        <v>22498</v>
      </c>
      <c r="E53" s="351">
        <f t="shared" si="24"/>
        <v>27928.600000000002</v>
      </c>
      <c r="F53" s="351">
        <f t="shared" si="24"/>
        <v>23443.133333333331</v>
      </c>
      <c r="G53" s="351">
        <f t="shared" si="24"/>
        <v>20848.3</v>
      </c>
      <c r="H53" s="351">
        <f t="shared" si="24"/>
        <v>23209.766666666666</v>
      </c>
      <c r="I53" s="351">
        <f>SUM(I51:I52)</f>
        <v>11933.333333333334</v>
      </c>
      <c r="J53" s="351">
        <f>SUM(J51:J52)</f>
        <v>16490.7</v>
      </c>
      <c r="K53" s="351">
        <f t="shared" si="24"/>
        <v>15376.066666666668</v>
      </c>
      <c r="L53" s="351">
        <f t="shared" si="24"/>
        <v>11145.466666666667</v>
      </c>
      <c r="M53" s="351">
        <f>SUM(M51:M52)</f>
        <v>21977.266666666666</v>
      </c>
      <c r="N53" s="351">
        <f t="shared" si="24"/>
        <v>324.26666666666665</v>
      </c>
      <c r="O53" s="351">
        <f t="shared" si="24"/>
        <v>11384.333333333334</v>
      </c>
      <c r="P53" s="351">
        <f t="shared" si="24"/>
        <v>9224.4</v>
      </c>
      <c r="Q53" s="475">
        <f>Q50/C5</f>
        <v>215783.63333333333</v>
      </c>
      <c r="R53" s="475">
        <v>202910</v>
      </c>
      <c r="S53" s="476">
        <v>199774.13333333333</v>
      </c>
    </row>
    <row r="54" spans="1:19" s="452" customFormat="1">
      <c r="A54" s="487">
        <v>10</v>
      </c>
      <c r="B54" s="488" t="s">
        <v>61</v>
      </c>
      <c r="C54" s="506"/>
      <c r="D54" s="354">
        <f t="shared" ref="D54:Q54" si="25">D29-D36</f>
        <v>243536</v>
      </c>
      <c r="E54" s="354">
        <f t="shared" si="25"/>
        <v>293735</v>
      </c>
      <c r="F54" s="354">
        <f t="shared" si="25"/>
        <v>208310</v>
      </c>
      <c r="G54" s="354">
        <f t="shared" si="25"/>
        <v>215404</v>
      </c>
      <c r="H54" s="354">
        <f t="shared" si="25"/>
        <v>168114</v>
      </c>
      <c r="I54" s="354">
        <f t="shared" si="25"/>
        <v>78750</v>
      </c>
      <c r="J54" s="354">
        <f t="shared" si="25"/>
        <v>115630</v>
      </c>
      <c r="K54" s="354">
        <f t="shared" si="25"/>
        <v>389328</v>
      </c>
      <c r="L54" s="354">
        <f t="shared" si="25"/>
        <v>85274</v>
      </c>
      <c r="M54" s="354">
        <f t="shared" si="25"/>
        <v>174715.5</v>
      </c>
      <c r="N54" s="354">
        <f t="shared" si="25"/>
        <v>117889</v>
      </c>
      <c r="O54" s="354">
        <f t="shared" si="25"/>
        <v>84403</v>
      </c>
      <c r="P54" s="354">
        <f t="shared" si="25"/>
        <v>4571</v>
      </c>
      <c r="Q54" s="463">
        <f t="shared" si="25"/>
        <v>2179659.5</v>
      </c>
      <c r="R54" s="463">
        <v>2750608.3499999978</v>
      </c>
      <c r="S54" s="464">
        <v>3241198.5</v>
      </c>
    </row>
    <row r="55" spans="1:19">
      <c r="A55" s="458"/>
      <c r="B55" s="459" t="s">
        <v>62</v>
      </c>
      <c r="C55" s="460"/>
      <c r="D55" s="351">
        <f>SUM(D54/C5)</f>
        <v>8117.8666666666668</v>
      </c>
      <c r="E55" s="351">
        <f>SUM(E54/C5)</f>
        <v>9791.1666666666661</v>
      </c>
      <c r="F55" s="351">
        <f>SUM(F54/C5)</f>
        <v>6943.666666666667</v>
      </c>
      <c r="G55" s="351">
        <f>SUM(G54/C5)</f>
        <v>7180.1333333333332</v>
      </c>
      <c r="H55" s="351">
        <f>SUM(H54/C5)</f>
        <v>5603.8</v>
      </c>
      <c r="I55" s="351">
        <f>SUM(I54/C5)</f>
        <v>2625</v>
      </c>
      <c r="J55" s="351">
        <f>SUM(J54/C5)</f>
        <v>3854.3333333333335</v>
      </c>
      <c r="K55" s="351">
        <f>SUM(K54/C5)</f>
        <v>12977.6</v>
      </c>
      <c r="L55" s="351">
        <f>SUM(L54/C5)</f>
        <v>2842.4666666666667</v>
      </c>
      <c r="M55" s="351">
        <f>SUM(M54/C5)</f>
        <v>5823.85</v>
      </c>
      <c r="N55" s="351">
        <f>SUM(N54/C5)</f>
        <v>3929.6333333333332</v>
      </c>
      <c r="O55" s="351">
        <f>SUM(O54/C5)</f>
        <v>2813.4333333333334</v>
      </c>
      <c r="P55" s="351">
        <f>SUM(P54/C5)</f>
        <v>152.36666666666667</v>
      </c>
      <c r="Q55" s="475">
        <f>SUM(Q54/C5)</f>
        <v>72655.316666666666</v>
      </c>
      <c r="R55" s="475">
        <v>88729</v>
      </c>
      <c r="S55" s="476">
        <v>108039.95</v>
      </c>
    </row>
    <row r="56" spans="1:19" s="435" customFormat="1" ht="25.5">
      <c r="A56" s="431">
        <v>11</v>
      </c>
      <c r="B56" s="432" t="s">
        <v>63</v>
      </c>
      <c r="C56" s="453"/>
      <c r="D56" s="352">
        <v>28997537</v>
      </c>
      <c r="E56" s="352">
        <v>40543041</v>
      </c>
      <c r="F56" s="352">
        <v>31413993</v>
      </c>
      <c r="G56" s="352">
        <v>49397842</v>
      </c>
      <c r="H56" s="352">
        <v>28392140</v>
      </c>
      <c r="I56" s="352">
        <v>17405443</v>
      </c>
      <c r="J56" s="352">
        <v>27388037</v>
      </c>
      <c r="K56" s="352">
        <v>34566315</v>
      </c>
      <c r="L56" s="352">
        <v>25898120</v>
      </c>
      <c r="M56" s="352">
        <v>24297975</v>
      </c>
      <c r="N56" s="352">
        <v>23289440</v>
      </c>
      <c r="O56" s="352">
        <v>14459058</v>
      </c>
      <c r="P56" s="352">
        <v>9642640</v>
      </c>
      <c r="Q56" s="507">
        <f>SUM(D56:P56)</f>
        <v>355691581</v>
      </c>
      <c r="R56" s="507">
        <v>334179438</v>
      </c>
      <c r="S56" s="508">
        <v>313073449</v>
      </c>
    </row>
    <row r="57" spans="1:19" s="438" customFormat="1">
      <c r="A57" s="385"/>
      <c r="B57" s="386" t="s">
        <v>64</v>
      </c>
      <c r="C57" s="436"/>
      <c r="D57" s="356">
        <f t="shared" ref="D57:P57" si="26">ROUND((D56)/$C5,0)</f>
        <v>966585</v>
      </c>
      <c r="E57" s="356">
        <f t="shared" si="26"/>
        <v>1351435</v>
      </c>
      <c r="F57" s="356">
        <f t="shared" si="26"/>
        <v>1047133</v>
      </c>
      <c r="G57" s="356">
        <f t="shared" si="26"/>
        <v>1646595</v>
      </c>
      <c r="H57" s="356">
        <f t="shared" si="26"/>
        <v>946405</v>
      </c>
      <c r="I57" s="356">
        <f t="shared" si="26"/>
        <v>580181</v>
      </c>
      <c r="J57" s="356">
        <f t="shared" si="26"/>
        <v>912935</v>
      </c>
      <c r="K57" s="356">
        <f t="shared" si="26"/>
        <v>1152211</v>
      </c>
      <c r="L57" s="356">
        <f t="shared" si="26"/>
        <v>863271</v>
      </c>
      <c r="M57" s="356">
        <f t="shared" si="26"/>
        <v>809933</v>
      </c>
      <c r="N57" s="356">
        <f t="shared" si="26"/>
        <v>776315</v>
      </c>
      <c r="O57" s="356">
        <f t="shared" si="26"/>
        <v>481969</v>
      </c>
      <c r="P57" s="356">
        <f t="shared" si="26"/>
        <v>321421</v>
      </c>
      <c r="Q57" s="463">
        <f>SUM(D57:P57)</f>
        <v>11856389</v>
      </c>
      <c r="R57" s="463">
        <v>10779982</v>
      </c>
      <c r="S57" s="464">
        <v>10435782</v>
      </c>
    </row>
    <row r="58" spans="1:19" s="435" customFormat="1">
      <c r="A58" s="509"/>
      <c r="B58" s="467" t="s">
        <v>65</v>
      </c>
      <c r="C58" s="510"/>
      <c r="D58" s="361">
        <f>SUM(D57/D67)</f>
        <v>13.90708419580527</v>
      </c>
      <c r="E58" s="361">
        <f t="shared" ref="E58:Q58" si="27">SUM(E57/E67)</f>
        <v>15.063914643743299</v>
      </c>
      <c r="F58" s="361">
        <f t="shared" si="27"/>
        <v>13.076962783469922</v>
      </c>
      <c r="G58" s="361">
        <f t="shared" si="27"/>
        <v>13.220632792717952</v>
      </c>
      <c r="H58" s="361">
        <f t="shared" si="27"/>
        <v>13.622114036144087</v>
      </c>
      <c r="I58" s="361">
        <f>SUM(I57/I67)</f>
        <v>12.497750747656504</v>
      </c>
      <c r="J58" s="361">
        <f>SUM(J57/J67)</f>
        <v>13.616188060949582</v>
      </c>
      <c r="K58" s="361">
        <f t="shared" si="27"/>
        <v>15.084481190617913</v>
      </c>
      <c r="L58" s="361">
        <f t="shared" si="27"/>
        <v>16.414627947319818</v>
      </c>
      <c r="M58" s="361">
        <f>SUM(M57/M67)</f>
        <v>14.563822390582482</v>
      </c>
      <c r="N58" s="361">
        <f t="shared" si="27"/>
        <v>14.715179676018304</v>
      </c>
      <c r="O58" s="361">
        <f t="shared" si="27"/>
        <v>13.57840200289616</v>
      </c>
      <c r="P58" s="361">
        <f t="shared" si="27"/>
        <v>13.661637985996391</v>
      </c>
      <c r="Q58" s="511">
        <f t="shared" si="27"/>
        <v>14.061992899495866</v>
      </c>
      <c r="R58" s="511">
        <v>13.91</v>
      </c>
      <c r="S58" s="512">
        <v>14.291281556407304</v>
      </c>
    </row>
    <row r="59" spans="1:19" s="438" customFormat="1" ht="25.5">
      <c r="A59" s="496"/>
      <c r="B59" s="497" t="s">
        <v>66</v>
      </c>
      <c r="C59" s="498"/>
      <c r="D59" s="362">
        <f t="shared" ref="D59:Q59" si="28">SUM(D57/D17)</f>
        <v>7610.9055118110236</v>
      </c>
      <c r="E59" s="362">
        <f t="shared" si="28"/>
        <v>7507.9722222222226</v>
      </c>
      <c r="F59" s="362">
        <f t="shared" si="28"/>
        <v>7873.1804511278197</v>
      </c>
      <c r="G59" s="362">
        <f t="shared" si="28"/>
        <v>9198.8547486033513</v>
      </c>
      <c r="H59" s="362">
        <f t="shared" si="28"/>
        <v>8301.7982456140344</v>
      </c>
      <c r="I59" s="362">
        <f t="shared" si="28"/>
        <v>8532.073529411764</v>
      </c>
      <c r="J59" s="362">
        <f t="shared" si="28"/>
        <v>8008.2017543859647</v>
      </c>
      <c r="K59" s="362">
        <f t="shared" si="28"/>
        <v>8057.4195804195806</v>
      </c>
      <c r="L59" s="362">
        <f t="shared" si="28"/>
        <v>9087.0631578947377</v>
      </c>
      <c r="M59" s="362">
        <f t="shared" si="28"/>
        <v>7713.6476190476187</v>
      </c>
      <c r="N59" s="362">
        <f t="shared" si="28"/>
        <v>9584.1358024691363</v>
      </c>
      <c r="O59" s="362">
        <f t="shared" si="28"/>
        <v>8032.8166666666666</v>
      </c>
      <c r="P59" s="362">
        <f t="shared" si="28"/>
        <v>7652.8809523809523</v>
      </c>
      <c r="Q59" s="513">
        <f t="shared" si="28"/>
        <v>8227.8896599583622</v>
      </c>
      <c r="R59" s="513">
        <v>7580.09</v>
      </c>
      <c r="S59" s="514">
        <v>7870.1221719457017</v>
      </c>
    </row>
    <row r="60" spans="1:19" s="438" customFormat="1" ht="15" thickBot="1">
      <c r="A60" s="515">
        <v>12</v>
      </c>
      <c r="B60" s="516" t="s">
        <v>67</v>
      </c>
      <c r="C60" s="517"/>
      <c r="D60" s="363">
        <f t="shared" ref="D60:Q60" si="29">SUM(D56)/D36</f>
        <v>38.38161047033379</v>
      </c>
      <c r="E60" s="363">
        <f t="shared" si="29"/>
        <v>35.701113220573006</v>
      </c>
      <c r="F60" s="363">
        <f t="shared" si="29"/>
        <v>43.020491365497598</v>
      </c>
      <c r="G60" s="363">
        <f t="shared" si="29"/>
        <v>47.323873254616437</v>
      </c>
      <c r="H60" s="363">
        <f t="shared" si="29"/>
        <v>38.122894436141912</v>
      </c>
      <c r="I60" s="363">
        <f t="shared" si="29"/>
        <v>43.506211444054507</v>
      </c>
      <c r="J60" s="363">
        <f t="shared" si="29"/>
        <v>43.428680840537609</v>
      </c>
      <c r="K60" s="363">
        <f t="shared" si="29"/>
        <v>34.099459302686917</v>
      </c>
      <c r="L60" s="363">
        <f t="shared" si="29"/>
        <v>35.665955132001159</v>
      </c>
      <c r="M60" s="363">
        <f t="shared" si="29"/>
        <v>32.437782352375763</v>
      </c>
      <c r="N60" s="363">
        <f t="shared" si="29"/>
        <v>45.153562641653565</v>
      </c>
      <c r="O60" s="363">
        <f t="shared" si="29"/>
        <v>39.136181673004835</v>
      </c>
      <c r="P60" s="363">
        <f t="shared" si="29"/>
        <v>36.24616587478198</v>
      </c>
      <c r="Q60" s="518">
        <f t="shared" si="29"/>
        <v>39.169695241105259</v>
      </c>
      <c r="R60" s="518">
        <v>37.476746670201493</v>
      </c>
      <c r="S60" s="519">
        <v>37.493170658333398</v>
      </c>
    </row>
    <row r="61" spans="1:19" s="435" customFormat="1" ht="15" thickTop="1">
      <c r="A61" s="431">
        <v>13</v>
      </c>
      <c r="B61" s="432" t="s">
        <v>68</v>
      </c>
      <c r="C61" s="453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99"/>
      <c r="R61" s="399"/>
      <c r="S61" s="449"/>
    </row>
    <row r="62" spans="1:19" s="438" customFormat="1">
      <c r="A62" s="385"/>
      <c r="B62" s="386" t="s">
        <v>69</v>
      </c>
      <c r="C62" s="436"/>
      <c r="D62" s="364">
        <f>SUM(D60)/67.7*100</f>
        <v>56.693663914820959</v>
      </c>
      <c r="E62" s="364">
        <f t="shared" ref="E62:P62" si="30">SUM(E60)/67.7*100</f>
        <v>52.734288361259971</v>
      </c>
      <c r="F62" s="364">
        <f t="shared" si="30"/>
        <v>63.545777497042245</v>
      </c>
      <c r="G62" s="364">
        <f t="shared" si="30"/>
        <v>69.902323862062673</v>
      </c>
      <c r="H62" s="364">
        <f t="shared" si="30"/>
        <v>56.31151319961878</v>
      </c>
      <c r="I62" s="364">
        <f t="shared" si="30"/>
        <v>64.263236992694985</v>
      </c>
      <c r="J62" s="364">
        <f t="shared" si="30"/>
        <v>64.148716160321428</v>
      </c>
      <c r="K62" s="364">
        <f t="shared" si="30"/>
        <v>50.368477551974763</v>
      </c>
      <c r="L62" s="364">
        <f t="shared" si="30"/>
        <v>52.682356177254299</v>
      </c>
      <c r="M62" s="364">
        <f t="shared" si="30"/>
        <v>47.914006428915449</v>
      </c>
      <c r="N62" s="364">
        <f t="shared" si="30"/>
        <v>66.696547476593153</v>
      </c>
      <c r="O62" s="364">
        <f t="shared" si="30"/>
        <v>57.808244716403003</v>
      </c>
      <c r="P62" s="364">
        <f t="shared" si="30"/>
        <v>53.539388293621826</v>
      </c>
      <c r="Q62" s="520">
        <f>SUM(Q60)/67.7*100</f>
        <v>57.857747771204224</v>
      </c>
      <c r="R62" s="520">
        <v>55.23470400914001</v>
      </c>
      <c r="S62" s="521">
        <v>53.554021794505637</v>
      </c>
    </row>
    <row r="63" spans="1:19" s="444" customFormat="1" ht="60">
      <c r="A63" s="487"/>
      <c r="B63" s="522" t="s">
        <v>176</v>
      </c>
      <c r="C63" s="489"/>
      <c r="D63" s="365">
        <f>D131/67.7*100</f>
        <v>70.616057788657955</v>
      </c>
      <c r="E63" s="365">
        <f t="shared" ref="E63:P63" si="31">E131/67.7*100</f>
        <v>68.391613465123925</v>
      </c>
      <c r="F63" s="365">
        <f t="shared" si="31"/>
        <v>76.642570837741346</v>
      </c>
      <c r="G63" s="365">
        <f t="shared" si="31"/>
        <v>83.31851101655316</v>
      </c>
      <c r="H63" s="365">
        <f t="shared" si="31"/>
        <v>71.61891305234721</v>
      </c>
      <c r="I63" s="365">
        <f t="shared" si="31"/>
        <v>77.921488017942735</v>
      </c>
      <c r="J63" s="365">
        <f t="shared" si="31"/>
        <v>77.016776675273491</v>
      </c>
      <c r="K63" s="365">
        <f t="shared" si="31"/>
        <v>64.135893648449041</v>
      </c>
      <c r="L63" s="365">
        <f>L131/67.7*100</f>
        <v>69.867060561299837</v>
      </c>
      <c r="M63" s="365">
        <f t="shared" si="31"/>
        <v>62.132739745806809</v>
      </c>
      <c r="N63" s="365">
        <f t="shared" si="31"/>
        <v>81.294086614534507</v>
      </c>
      <c r="O63" s="365">
        <f t="shared" si="31"/>
        <v>70.857070271885576</v>
      </c>
      <c r="P63" s="365">
        <f t="shared" si="31"/>
        <v>66.779846632091861</v>
      </c>
      <c r="Q63" s="523">
        <f>Q131/67.7*100</f>
        <v>72.151778105382775</v>
      </c>
      <c r="R63" s="365">
        <v>67.499261248434067</v>
      </c>
      <c r="S63" s="524">
        <v>66.91791472255268</v>
      </c>
    </row>
    <row r="64" spans="1:19" s="438" customFormat="1" ht="25.5">
      <c r="A64" s="385">
        <v>14</v>
      </c>
      <c r="B64" s="386" t="s">
        <v>193</v>
      </c>
      <c r="C64" s="510"/>
      <c r="D64" s="358" t="s">
        <v>72</v>
      </c>
      <c r="E64" s="358" t="s">
        <v>72</v>
      </c>
      <c r="F64" s="358" t="s">
        <v>72</v>
      </c>
      <c r="G64" s="358" t="s">
        <v>72</v>
      </c>
      <c r="H64" s="358" t="s">
        <v>72</v>
      </c>
      <c r="I64" s="358" t="s">
        <v>72</v>
      </c>
      <c r="J64" s="358" t="s">
        <v>72</v>
      </c>
      <c r="K64" s="358" t="s">
        <v>72</v>
      </c>
      <c r="L64" s="358" t="s">
        <v>72</v>
      </c>
      <c r="M64" s="358" t="s">
        <v>72</v>
      </c>
      <c r="N64" s="358" t="s">
        <v>72</v>
      </c>
      <c r="O64" s="358" t="s">
        <v>72</v>
      </c>
      <c r="P64" s="358" t="s">
        <v>72</v>
      </c>
      <c r="Q64" s="401">
        <v>83.51</v>
      </c>
      <c r="R64" s="401">
        <v>83.51</v>
      </c>
      <c r="S64" s="484">
        <v>76.98</v>
      </c>
    </row>
    <row r="65" spans="1:19" s="435" customFormat="1" ht="25.5">
      <c r="A65" s="509">
        <v>15</v>
      </c>
      <c r="B65" s="386" t="s">
        <v>73</v>
      </c>
      <c r="C65" s="510"/>
      <c r="D65" s="361">
        <f t="shared" ref="D65:Q65" si="32">D15/D8*100</f>
        <v>64.912280701754383</v>
      </c>
      <c r="E65" s="361">
        <f t="shared" si="32"/>
        <v>61</v>
      </c>
      <c r="F65" s="361">
        <f t="shared" si="32"/>
        <v>58.82352941176471</v>
      </c>
      <c r="G65" s="361">
        <f t="shared" si="32"/>
        <v>75.177304964539005</v>
      </c>
      <c r="H65" s="361">
        <f t="shared" si="32"/>
        <v>65.584415584415595</v>
      </c>
      <c r="I65" s="361">
        <f t="shared" si="32"/>
        <v>56.999999999999993</v>
      </c>
      <c r="J65" s="361">
        <f t="shared" si="32"/>
        <v>64.492753623188406</v>
      </c>
      <c r="K65" s="361">
        <f t="shared" si="32"/>
        <v>54.700854700854705</v>
      </c>
      <c r="L65" s="361">
        <f t="shared" si="32"/>
        <v>59.722222222222221</v>
      </c>
      <c r="M65" s="361">
        <f t="shared" si="32"/>
        <v>56.60377358490566</v>
      </c>
      <c r="N65" s="361">
        <f t="shared" si="32"/>
        <v>40</v>
      </c>
      <c r="O65" s="361">
        <f t="shared" si="32"/>
        <v>58.241758241758248</v>
      </c>
      <c r="P65" s="361">
        <f t="shared" si="32"/>
        <v>50</v>
      </c>
      <c r="Q65" s="511">
        <f t="shared" si="32"/>
        <v>61.124694376528119</v>
      </c>
      <c r="R65" s="511">
        <v>63.269230769230766</v>
      </c>
      <c r="S65" s="512">
        <v>66.308243727598565</v>
      </c>
    </row>
    <row r="66" spans="1:19" s="435" customFormat="1" ht="25.5">
      <c r="A66" s="509">
        <v>16</v>
      </c>
      <c r="B66" s="386" t="s">
        <v>74</v>
      </c>
      <c r="C66" s="510"/>
      <c r="D66" s="361">
        <f t="shared" ref="D66:Q66" si="33">SUM(D53/D15)</f>
        <v>202.6846846846847</v>
      </c>
      <c r="E66" s="361">
        <f t="shared" si="33"/>
        <v>228.92295081967214</v>
      </c>
      <c r="F66" s="361">
        <f t="shared" si="33"/>
        <v>195.35944444444442</v>
      </c>
      <c r="G66" s="361">
        <f t="shared" si="33"/>
        <v>196.68207547169811</v>
      </c>
      <c r="H66" s="361">
        <f t="shared" si="33"/>
        <v>229.7996699669967</v>
      </c>
      <c r="I66" s="361">
        <f t="shared" si="33"/>
        <v>209.35672514619884</v>
      </c>
      <c r="J66" s="361">
        <f t="shared" si="33"/>
        <v>185.28876404494383</v>
      </c>
      <c r="K66" s="361">
        <f t="shared" si="33"/>
        <v>240.25104166666668</v>
      </c>
      <c r="L66" s="361">
        <f t="shared" si="33"/>
        <v>259.1968992248062</v>
      </c>
      <c r="M66" s="361">
        <f t="shared" si="33"/>
        <v>244.19185185185185</v>
      </c>
      <c r="N66" s="361">
        <f t="shared" si="33"/>
        <v>162.13333333333333</v>
      </c>
      <c r="O66" s="361">
        <f t="shared" si="33"/>
        <v>214.79874213836479</v>
      </c>
      <c r="P66" s="361">
        <f t="shared" si="33"/>
        <v>219.62857142857143</v>
      </c>
      <c r="Q66" s="511">
        <f t="shared" si="33"/>
        <v>215.78363333333334</v>
      </c>
      <c r="R66" s="511">
        <v>212.43481931779803</v>
      </c>
      <c r="S66" s="512">
        <v>215.97203603603603</v>
      </c>
    </row>
    <row r="67" spans="1:19" s="438" customFormat="1" ht="25.5">
      <c r="A67" s="445">
        <v>17</v>
      </c>
      <c r="B67" s="432" t="s">
        <v>75</v>
      </c>
      <c r="C67" s="453"/>
      <c r="D67" s="352">
        <v>69503.066666666666</v>
      </c>
      <c r="E67" s="352">
        <v>89713.4</v>
      </c>
      <c r="F67" s="352">
        <v>80074.633333333331</v>
      </c>
      <c r="G67" s="352">
        <v>124547.36666666667</v>
      </c>
      <c r="H67" s="352">
        <v>69475.633333333331</v>
      </c>
      <c r="I67" s="352">
        <v>46422.833333333336</v>
      </c>
      <c r="J67" s="352">
        <v>67047.766666666663</v>
      </c>
      <c r="K67" s="352">
        <v>76383.866666666669</v>
      </c>
      <c r="L67" s="352">
        <v>52591.566666666666</v>
      </c>
      <c r="M67" s="352">
        <v>55612.666666666664</v>
      </c>
      <c r="N67" s="352">
        <v>52756.066666666666</v>
      </c>
      <c r="O67" s="352">
        <v>35495.26666666667</v>
      </c>
      <c r="P67" s="352">
        <v>23527.266666666666</v>
      </c>
      <c r="Q67" s="463">
        <f>SUM(D67:P67)</f>
        <v>843151.4</v>
      </c>
      <c r="R67" s="463">
        <v>775105.03225806449</v>
      </c>
      <c r="S67" s="464">
        <v>730220.16666666663</v>
      </c>
    </row>
    <row r="68" spans="1:19" s="435" customFormat="1">
      <c r="A68" s="468"/>
      <c r="B68" s="459" t="s">
        <v>76</v>
      </c>
      <c r="C68" s="470"/>
      <c r="D68" s="351">
        <f t="shared" ref="D68:Q68" si="34">SUM(D67/D17)</f>
        <v>547.2682414698163</v>
      </c>
      <c r="E68" s="351">
        <f t="shared" si="34"/>
        <v>498.40777777777777</v>
      </c>
      <c r="F68" s="351">
        <f t="shared" si="34"/>
        <v>602.06491228070172</v>
      </c>
      <c r="G68" s="351">
        <f t="shared" si="34"/>
        <v>695.79534450651772</v>
      </c>
      <c r="H68" s="351">
        <f t="shared" si="34"/>
        <v>609.4353801169591</v>
      </c>
      <c r="I68" s="351">
        <f t="shared" si="34"/>
        <v>682.68872549019613</v>
      </c>
      <c r="J68" s="351">
        <f t="shared" si="34"/>
        <v>588.13830409356717</v>
      </c>
      <c r="K68" s="351">
        <f t="shared" si="34"/>
        <v>534.15291375291372</v>
      </c>
      <c r="L68" s="351">
        <f t="shared" si="34"/>
        <v>553.59543859649125</v>
      </c>
      <c r="M68" s="351">
        <f t="shared" si="34"/>
        <v>529.64444444444439</v>
      </c>
      <c r="N68" s="351">
        <f t="shared" si="34"/>
        <v>651.30946502057611</v>
      </c>
      <c r="O68" s="351">
        <f t="shared" si="34"/>
        <v>591.58777777777789</v>
      </c>
      <c r="P68" s="351">
        <f t="shared" si="34"/>
        <v>560.17301587301586</v>
      </c>
      <c r="Q68" s="475">
        <f t="shared" si="34"/>
        <v>585.11547536433034</v>
      </c>
      <c r="R68" s="475">
        <v>545.02525716489174</v>
      </c>
      <c r="S68" s="476">
        <v>550.69394167923576</v>
      </c>
    </row>
    <row r="69" spans="1:19" s="438" customFormat="1" ht="25.5">
      <c r="A69" s="445">
        <v>18</v>
      </c>
      <c r="B69" s="432" t="s">
        <v>77</v>
      </c>
      <c r="C69" s="453"/>
      <c r="D69" s="356" t="s">
        <v>72</v>
      </c>
      <c r="E69" s="356" t="s">
        <v>72</v>
      </c>
      <c r="F69" s="356" t="s">
        <v>72</v>
      </c>
      <c r="G69" s="356" t="s">
        <v>72</v>
      </c>
      <c r="H69" s="356" t="s">
        <v>72</v>
      </c>
      <c r="I69" s="356" t="s">
        <v>72</v>
      </c>
      <c r="J69" s="356" t="s">
        <v>72</v>
      </c>
      <c r="K69" s="356" t="s">
        <v>72</v>
      </c>
      <c r="L69" s="356" t="s">
        <v>72</v>
      </c>
      <c r="M69" s="356" t="s">
        <v>72</v>
      </c>
      <c r="N69" s="356" t="s">
        <v>72</v>
      </c>
      <c r="O69" s="356" t="s">
        <v>72</v>
      </c>
      <c r="P69" s="356" t="s">
        <v>72</v>
      </c>
      <c r="Q69" s="400">
        <v>627200</v>
      </c>
      <c r="R69" s="400">
        <v>680500</v>
      </c>
      <c r="S69" s="483">
        <v>684000</v>
      </c>
    </row>
    <row r="70" spans="1:19" s="435" customFormat="1" ht="20.25" customHeight="1">
      <c r="A70" s="431">
        <v>19</v>
      </c>
      <c r="B70" s="432" t="s">
        <v>78</v>
      </c>
      <c r="C70" s="453"/>
      <c r="D70" s="345" t="s">
        <v>72</v>
      </c>
      <c r="E70" s="345" t="s">
        <v>72</v>
      </c>
      <c r="F70" s="345" t="s">
        <v>72</v>
      </c>
      <c r="G70" s="345" t="s">
        <v>72</v>
      </c>
      <c r="H70" s="345" t="s">
        <v>72</v>
      </c>
      <c r="I70" s="345" t="s">
        <v>72</v>
      </c>
      <c r="J70" s="345" t="s">
        <v>72</v>
      </c>
      <c r="K70" s="345" t="s">
        <v>72</v>
      </c>
      <c r="L70" s="345" t="s">
        <v>72</v>
      </c>
      <c r="M70" s="345" t="s">
        <v>72</v>
      </c>
      <c r="N70" s="345" t="s">
        <v>72</v>
      </c>
      <c r="O70" s="345" t="s">
        <v>72</v>
      </c>
      <c r="P70" s="345" t="s">
        <v>72</v>
      </c>
      <c r="Q70" s="399">
        <v>3</v>
      </c>
      <c r="R70" s="399">
        <v>3</v>
      </c>
      <c r="S70" s="449">
        <v>6</v>
      </c>
    </row>
    <row r="71" spans="1:19" s="435" customFormat="1" ht="18" customHeight="1">
      <c r="A71" s="468"/>
      <c r="B71" s="459" t="s">
        <v>79</v>
      </c>
      <c r="C71" s="470"/>
      <c r="D71" s="302" t="s">
        <v>72</v>
      </c>
      <c r="E71" s="302" t="s">
        <v>72</v>
      </c>
      <c r="F71" s="302" t="s">
        <v>72</v>
      </c>
      <c r="G71" s="302" t="s">
        <v>72</v>
      </c>
      <c r="H71" s="302" t="s">
        <v>72</v>
      </c>
      <c r="I71" s="302" t="s">
        <v>72</v>
      </c>
      <c r="J71" s="302" t="s">
        <v>72</v>
      </c>
      <c r="K71" s="302" t="s">
        <v>72</v>
      </c>
      <c r="L71" s="302" t="s">
        <v>72</v>
      </c>
      <c r="M71" s="302" t="s">
        <v>72</v>
      </c>
      <c r="N71" s="302" t="s">
        <v>72</v>
      </c>
      <c r="O71" s="302" t="s">
        <v>72</v>
      </c>
      <c r="P71" s="302" t="s">
        <v>72</v>
      </c>
      <c r="Q71" s="146">
        <v>17</v>
      </c>
      <c r="R71" s="146">
        <v>1402</v>
      </c>
      <c r="S71" s="525">
        <v>15</v>
      </c>
    </row>
    <row r="72" spans="1:19" s="435" customFormat="1" ht="25.5">
      <c r="A72" s="431">
        <v>20</v>
      </c>
      <c r="B72" s="432" t="s">
        <v>80</v>
      </c>
      <c r="C72" s="453"/>
      <c r="D72" s="345" t="s">
        <v>72</v>
      </c>
      <c r="E72" s="345" t="s">
        <v>72</v>
      </c>
      <c r="F72" s="345" t="s">
        <v>72</v>
      </c>
      <c r="G72" s="345" t="s">
        <v>72</v>
      </c>
      <c r="H72" s="345" t="s">
        <v>72</v>
      </c>
      <c r="I72" s="345" t="s">
        <v>72</v>
      </c>
      <c r="J72" s="345" t="s">
        <v>72</v>
      </c>
      <c r="K72" s="345" t="s">
        <v>72</v>
      </c>
      <c r="L72" s="345" t="s">
        <v>72</v>
      </c>
      <c r="M72" s="345" t="s">
        <v>72</v>
      </c>
      <c r="N72" s="345" t="s">
        <v>72</v>
      </c>
      <c r="O72" s="345" t="s">
        <v>72</v>
      </c>
      <c r="P72" s="345" t="s">
        <v>72</v>
      </c>
      <c r="Q72" s="399">
        <v>38401</v>
      </c>
      <c r="R72" s="399">
        <v>15356</v>
      </c>
      <c r="S72" s="449">
        <v>29908</v>
      </c>
    </row>
    <row r="73" spans="1:19" s="438" customFormat="1" ht="25.5">
      <c r="A73" s="385"/>
      <c r="B73" s="386" t="s">
        <v>177</v>
      </c>
      <c r="C73" s="510"/>
      <c r="D73" s="358" t="s">
        <v>72</v>
      </c>
      <c r="E73" s="358" t="s">
        <v>72</v>
      </c>
      <c r="F73" s="358" t="s">
        <v>72</v>
      </c>
      <c r="G73" s="358" t="s">
        <v>72</v>
      </c>
      <c r="H73" s="358" t="s">
        <v>72</v>
      </c>
      <c r="I73" s="358" t="s">
        <v>72</v>
      </c>
      <c r="J73" s="358" t="s">
        <v>72</v>
      </c>
      <c r="K73" s="358" t="s">
        <v>72</v>
      </c>
      <c r="L73" s="358" t="s">
        <v>72</v>
      </c>
      <c r="M73" s="358" t="s">
        <v>72</v>
      </c>
      <c r="N73" s="358" t="s">
        <v>72</v>
      </c>
      <c r="O73" s="358" t="s">
        <v>72</v>
      </c>
      <c r="P73" s="358" t="s">
        <v>72</v>
      </c>
      <c r="Q73" s="401">
        <v>25827400</v>
      </c>
      <c r="R73" s="401">
        <v>10705830</v>
      </c>
      <c r="S73" s="484">
        <v>20736150</v>
      </c>
    </row>
    <row r="74" spans="1:19" s="438" customFormat="1" ht="25.5">
      <c r="A74" s="458"/>
      <c r="B74" s="459" t="s">
        <v>82</v>
      </c>
      <c r="C74" s="470"/>
      <c r="D74" s="359" t="s">
        <v>72</v>
      </c>
      <c r="E74" s="359" t="s">
        <v>72</v>
      </c>
      <c r="F74" s="359" t="s">
        <v>72</v>
      </c>
      <c r="G74" s="359" t="s">
        <v>72</v>
      </c>
      <c r="H74" s="359" t="s">
        <v>72</v>
      </c>
      <c r="I74" s="359" t="s">
        <v>72</v>
      </c>
      <c r="J74" s="359" t="s">
        <v>72</v>
      </c>
      <c r="K74" s="359" t="s">
        <v>72</v>
      </c>
      <c r="L74" s="359" t="s">
        <v>72</v>
      </c>
      <c r="M74" s="359" t="s">
        <v>72</v>
      </c>
      <c r="N74" s="359" t="s">
        <v>72</v>
      </c>
      <c r="O74" s="359" t="s">
        <v>72</v>
      </c>
      <c r="P74" s="359" t="s">
        <v>72</v>
      </c>
      <c r="Q74" s="492">
        <f>SUM(Q73/Q36)</f>
        <v>2.8441814226413245</v>
      </c>
      <c r="R74" s="492">
        <v>1.2006115074148975</v>
      </c>
      <c r="S74" s="493">
        <v>2.483327836423459</v>
      </c>
    </row>
    <row r="75" spans="1:19" s="438" customFormat="1">
      <c r="A75" s="445">
        <v>21</v>
      </c>
      <c r="B75" s="432" t="s">
        <v>83</v>
      </c>
      <c r="C75" s="453"/>
      <c r="D75" s="356" t="s">
        <v>72</v>
      </c>
      <c r="E75" s="356" t="s">
        <v>72</v>
      </c>
      <c r="F75" s="356" t="s">
        <v>72</v>
      </c>
      <c r="G75" s="356" t="s">
        <v>72</v>
      </c>
      <c r="H75" s="356" t="s">
        <v>72</v>
      </c>
      <c r="I75" s="356" t="s">
        <v>72</v>
      </c>
      <c r="J75" s="356" t="s">
        <v>72</v>
      </c>
      <c r="K75" s="356" t="s">
        <v>72</v>
      </c>
      <c r="L75" s="356" t="s">
        <v>72</v>
      </c>
      <c r="M75" s="356" t="s">
        <v>72</v>
      </c>
      <c r="N75" s="356" t="s">
        <v>72</v>
      </c>
      <c r="O75" s="356" t="s">
        <v>72</v>
      </c>
      <c r="P75" s="356" t="s">
        <v>72</v>
      </c>
      <c r="Q75" s="400">
        <f>SUM(C76:C82)</f>
        <v>537561</v>
      </c>
      <c r="R75" s="400">
        <v>497480</v>
      </c>
      <c r="S75" s="483">
        <v>485547</v>
      </c>
    </row>
    <row r="76" spans="1:19" ht="25.5">
      <c r="A76" s="385"/>
      <c r="B76" s="386" t="s">
        <v>84</v>
      </c>
      <c r="C76" s="510">
        <v>134356</v>
      </c>
      <c r="D76" s="358" t="s">
        <v>72</v>
      </c>
      <c r="E76" s="358" t="s">
        <v>72</v>
      </c>
      <c r="F76" s="358" t="s">
        <v>72</v>
      </c>
      <c r="G76" s="358" t="s">
        <v>72</v>
      </c>
      <c r="H76" s="358" t="s">
        <v>72</v>
      </c>
      <c r="I76" s="358" t="s">
        <v>72</v>
      </c>
      <c r="J76" s="358" t="s">
        <v>72</v>
      </c>
      <c r="K76" s="358" t="s">
        <v>72</v>
      </c>
      <c r="L76" s="358" t="s">
        <v>72</v>
      </c>
      <c r="M76" s="358" t="s">
        <v>72</v>
      </c>
      <c r="N76" s="358" t="s">
        <v>72</v>
      </c>
      <c r="O76" s="358" t="s">
        <v>72</v>
      </c>
      <c r="P76" s="358" t="s">
        <v>72</v>
      </c>
      <c r="Q76" s="401" t="s">
        <v>72</v>
      </c>
      <c r="R76" s="401" t="s">
        <v>72</v>
      </c>
      <c r="S76" s="484" t="s">
        <v>72</v>
      </c>
    </row>
    <row r="77" spans="1:19">
      <c r="A77" s="385"/>
      <c r="B77" s="386" t="s">
        <v>85</v>
      </c>
      <c r="C77" s="510">
        <v>374090</v>
      </c>
      <c r="D77" s="358" t="s">
        <v>72</v>
      </c>
      <c r="E77" s="358" t="s">
        <v>72</v>
      </c>
      <c r="F77" s="358" t="s">
        <v>72</v>
      </c>
      <c r="G77" s="358" t="s">
        <v>72</v>
      </c>
      <c r="H77" s="358" t="s">
        <v>72</v>
      </c>
      <c r="I77" s="358" t="s">
        <v>72</v>
      </c>
      <c r="J77" s="358" t="s">
        <v>72</v>
      </c>
      <c r="K77" s="358" t="s">
        <v>72</v>
      </c>
      <c r="L77" s="358" t="s">
        <v>72</v>
      </c>
      <c r="M77" s="358" t="s">
        <v>72</v>
      </c>
      <c r="N77" s="358" t="s">
        <v>72</v>
      </c>
      <c r="O77" s="358" t="s">
        <v>72</v>
      </c>
      <c r="P77" s="358" t="s">
        <v>72</v>
      </c>
      <c r="Q77" s="401" t="s">
        <v>72</v>
      </c>
      <c r="R77" s="401" t="s">
        <v>72</v>
      </c>
      <c r="S77" s="484" t="s">
        <v>72</v>
      </c>
    </row>
    <row r="78" spans="1:19" ht="25.5">
      <c r="A78" s="385"/>
      <c r="B78" s="386" t="s">
        <v>86</v>
      </c>
      <c r="C78" s="510">
        <v>8712</v>
      </c>
      <c r="D78" s="358" t="s">
        <v>72</v>
      </c>
      <c r="E78" s="358" t="s">
        <v>72</v>
      </c>
      <c r="F78" s="358" t="s">
        <v>72</v>
      </c>
      <c r="G78" s="358" t="s">
        <v>72</v>
      </c>
      <c r="H78" s="358" t="s">
        <v>72</v>
      </c>
      <c r="I78" s="358" t="s">
        <v>72</v>
      </c>
      <c r="J78" s="358" t="s">
        <v>72</v>
      </c>
      <c r="K78" s="358" t="s">
        <v>72</v>
      </c>
      <c r="L78" s="358" t="s">
        <v>72</v>
      </c>
      <c r="M78" s="358" t="s">
        <v>72</v>
      </c>
      <c r="N78" s="358" t="s">
        <v>72</v>
      </c>
      <c r="O78" s="358" t="s">
        <v>72</v>
      </c>
      <c r="P78" s="358" t="s">
        <v>72</v>
      </c>
      <c r="Q78" s="401" t="s">
        <v>72</v>
      </c>
      <c r="R78" s="401" t="s">
        <v>72</v>
      </c>
      <c r="S78" s="484" t="s">
        <v>72</v>
      </c>
    </row>
    <row r="79" spans="1:19">
      <c r="A79" s="385"/>
      <c r="B79" s="467" t="s">
        <v>87</v>
      </c>
      <c r="C79" s="510">
        <v>1316</v>
      </c>
      <c r="D79" s="358" t="s">
        <v>72</v>
      </c>
      <c r="E79" s="358" t="s">
        <v>72</v>
      </c>
      <c r="F79" s="358" t="s">
        <v>72</v>
      </c>
      <c r="G79" s="358" t="s">
        <v>72</v>
      </c>
      <c r="H79" s="358" t="s">
        <v>72</v>
      </c>
      <c r="I79" s="358" t="s">
        <v>72</v>
      </c>
      <c r="J79" s="358" t="s">
        <v>72</v>
      </c>
      <c r="K79" s="358" t="s">
        <v>72</v>
      </c>
      <c r="L79" s="358" t="s">
        <v>72</v>
      </c>
      <c r="M79" s="358" t="s">
        <v>72</v>
      </c>
      <c r="N79" s="358" t="s">
        <v>72</v>
      </c>
      <c r="O79" s="358" t="s">
        <v>72</v>
      </c>
      <c r="P79" s="358" t="s">
        <v>72</v>
      </c>
      <c r="Q79" s="401" t="s">
        <v>72</v>
      </c>
      <c r="R79" s="401" t="s">
        <v>72</v>
      </c>
      <c r="S79" s="484" t="s">
        <v>72</v>
      </c>
    </row>
    <row r="80" spans="1:19" ht="25.5">
      <c r="A80" s="445"/>
      <c r="B80" s="432" t="s">
        <v>88</v>
      </c>
      <c r="C80" s="510">
        <v>14097</v>
      </c>
      <c r="D80" s="356" t="s">
        <v>72</v>
      </c>
      <c r="E80" s="356" t="s">
        <v>72</v>
      </c>
      <c r="F80" s="356" t="s">
        <v>72</v>
      </c>
      <c r="G80" s="356" t="s">
        <v>72</v>
      </c>
      <c r="H80" s="356" t="s">
        <v>72</v>
      </c>
      <c r="I80" s="356" t="s">
        <v>72</v>
      </c>
      <c r="J80" s="356" t="s">
        <v>72</v>
      </c>
      <c r="K80" s="356" t="s">
        <v>72</v>
      </c>
      <c r="L80" s="356" t="s">
        <v>72</v>
      </c>
      <c r="M80" s="356" t="s">
        <v>72</v>
      </c>
      <c r="N80" s="356" t="s">
        <v>72</v>
      </c>
      <c r="O80" s="356" t="s">
        <v>72</v>
      </c>
      <c r="P80" s="356" t="s">
        <v>72</v>
      </c>
      <c r="Q80" s="400" t="s">
        <v>72</v>
      </c>
      <c r="R80" s="400" t="s">
        <v>72</v>
      </c>
      <c r="S80" s="483" t="s">
        <v>72</v>
      </c>
    </row>
    <row r="81" spans="1:19">
      <c r="A81" s="445"/>
      <c r="B81" s="432" t="s">
        <v>89</v>
      </c>
      <c r="C81" s="510">
        <v>1092</v>
      </c>
      <c r="D81" s="356" t="s">
        <v>72</v>
      </c>
      <c r="E81" s="356" t="s">
        <v>72</v>
      </c>
      <c r="F81" s="356" t="s">
        <v>72</v>
      </c>
      <c r="G81" s="356" t="s">
        <v>72</v>
      </c>
      <c r="H81" s="356" t="s">
        <v>72</v>
      </c>
      <c r="I81" s="356" t="s">
        <v>72</v>
      </c>
      <c r="J81" s="356" t="s">
        <v>72</v>
      </c>
      <c r="K81" s="356" t="s">
        <v>72</v>
      </c>
      <c r="L81" s="356" t="s">
        <v>72</v>
      </c>
      <c r="M81" s="356" t="s">
        <v>72</v>
      </c>
      <c r="N81" s="356" t="s">
        <v>72</v>
      </c>
      <c r="O81" s="356" t="s">
        <v>72</v>
      </c>
      <c r="P81" s="356" t="s">
        <v>72</v>
      </c>
      <c r="Q81" s="400" t="s">
        <v>72</v>
      </c>
      <c r="R81" s="400" t="s">
        <v>72</v>
      </c>
      <c r="S81" s="483" t="s">
        <v>72</v>
      </c>
    </row>
    <row r="82" spans="1:19">
      <c r="A82" s="445"/>
      <c r="B82" s="432" t="s">
        <v>90</v>
      </c>
      <c r="C82" s="510">
        <v>3898</v>
      </c>
      <c r="D82" s="356" t="s">
        <v>72</v>
      </c>
      <c r="E82" s="356" t="s">
        <v>72</v>
      </c>
      <c r="F82" s="356" t="s">
        <v>72</v>
      </c>
      <c r="G82" s="356" t="s">
        <v>72</v>
      </c>
      <c r="H82" s="356" t="s">
        <v>72</v>
      </c>
      <c r="I82" s="356" t="s">
        <v>72</v>
      </c>
      <c r="J82" s="356" t="s">
        <v>72</v>
      </c>
      <c r="K82" s="356" t="s">
        <v>72</v>
      </c>
      <c r="L82" s="356" t="s">
        <v>72</v>
      </c>
      <c r="M82" s="356" t="s">
        <v>72</v>
      </c>
      <c r="N82" s="356" t="s">
        <v>72</v>
      </c>
      <c r="O82" s="356" t="s">
        <v>72</v>
      </c>
      <c r="P82" s="356" t="s">
        <v>72</v>
      </c>
      <c r="Q82" s="400" t="s">
        <v>72</v>
      </c>
      <c r="R82" s="400" t="s">
        <v>72</v>
      </c>
      <c r="S82" s="483" t="s">
        <v>72</v>
      </c>
    </row>
    <row r="83" spans="1:19" s="438" customFormat="1" ht="25.5">
      <c r="A83" s="385"/>
      <c r="B83" s="386" t="s">
        <v>91</v>
      </c>
      <c r="C83" s="526"/>
      <c r="D83" s="358" t="s">
        <v>72</v>
      </c>
      <c r="E83" s="358" t="s">
        <v>72</v>
      </c>
      <c r="F83" s="358" t="s">
        <v>72</v>
      </c>
      <c r="G83" s="358" t="s">
        <v>72</v>
      </c>
      <c r="H83" s="358" t="s">
        <v>72</v>
      </c>
      <c r="I83" s="358" t="s">
        <v>72</v>
      </c>
      <c r="J83" s="358" t="s">
        <v>72</v>
      </c>
      <c r="K83" s="358" t="s">
        <v>72</v>
      </c>
      <c r="L83" s="358" t="s">
        <v>72</v>
      </c>
      <c r="M83" s="358" t="s">
        <v>72</v>
      </c>
      <c r="N83" s="358" t="s">
        <v>72</v>
      </c>
      <c r="O83" s="358" t="s">
        <v>72</v>
      </c>
      <c r="P83" s="358" t="s">
        <v>72</v>
      </c>
      <c r="Q83" s="463">
        <v>59814020</v>
      </c>
      <c r="R83" s="463">
        <v>52755440</v>
      </c>
      <c r="S83" s="464">
        <v>56734810</v>
      </c>
    </row>
    <row r="84" spans="1:19" s="438" customFormat="1" ht="26.25" thickBot="1">
      <c r="A84" s="515"/>
      <c r="B84" s="516" t="s">
        <v>92</v>
      </c>
      <c r="C84" s="527"/>
      <c r="D84" s="366" t="s">
        <v>72</v>
      </c>
      <c r="E84" s="366" t="s">
        <v>72</v>
      </c>
      <c r="F84" s="366" t="s">
        <v>72</v>
      </c>
      <c r="G84" s="366" t="s">
        <v>72</v>
      </c>
      <c r="H84" s="366" t="s">
        <v>72</v>
      </c>
      <c r="I84" s="366" t="s">
        <v>72</v>
      </c>
      <c r="J84" s="366" t="s">
        <v>72</v>
      </c>
      <c r="K84" s="366" t="s">
        <v>72</v>
      </c>
      <c r="L84" s="366" t="s">
        <v>72</v>
      </c>
      <c r="M84" s="366" t="s">
        <v>72</v>
      </c>
      <c r="N84" s="366" t="s">
        <v>72</v>
      </c>
      <c r="O84" s="366" t="s">
        <v>72</v>
      </c>
      <c r="P84" s="366" t="s">
        <v>72</v>
      </c>
      <c r="Q84" s="518">
        <f>SUM(Q83/Q36)</f>
        <v>6.5868776763242387</v>
      </c>
      <c r="R84" s="518">
        <v>5.9162893809014507</v>
      </c>
      <c r="S84" s="519">
        <v>6.794469222454314</v>
      </c>
    </row>
    <row r="85" spans="1:19" s="438" customFormat="1" ht="15" thickTop="1">
      <c r="A85" s="445" t="s">
        <v>93</v>
      </c>
      <c r="B85" s="432" t="s">
        <v>94</v>
      </c>
      <c r="C85" s="528"/>
      <c r="D85" s="356"/>
      <c r="E85" s="356"/>
      <c r="F85" s="356"/>
      <c r="G85" s="356"/>
      <c r="H85" s="356"/>
      <c r="I85" s="356"/>
      <c r="J85" s="356"/>
      <c r="K85" s="356"/>
      <c r="L85" s="356"/>
      <c r="M85" s="356"/>
      <c r="N85" s="356"/>
      <c r="O85" s="356"/>
      <c r="P85" s="356"/>
      <c r="Q85" s="529"/>
      <c r="R85" s="529"/>
      <c r="S85" s="464"/>
    </row>
    <row r="86" spans="1:19" s="438" customFormat="1">
      <c r="A86" s="385"/>
      <c r="B86" s="386" t="s">
        <v>95</v>
      </c>
      <c r="C86" s="387"/>
      <c r="D86" s="358" t="s">
        <v>72</v>
      </c>
      <c r="E86" s="358" t="s">
        <v>72</v>
      </c>
      <c r="F86" s="358" t="s">
        <v>72</v>
      </c>
      <c r="G86" s="358" t="s">
        <v>72</v>
      </c>
      <c r="H86" s="358" t="s">
        <v>72</v>
      </c>
      <c r="I86" s="358" t="s">
        <v>72</v>
      </c>
      <c r="J86" s="358" t="s">
        <v>72</v>
      </c>
      <c r="K86" s="358" t="s">
        <v>72</v>
      </c>
      <c r="L86" s="358" t="s">
        <v>72</v>
      </c>
      <c r="M86" s="358" t="s">
        <v>72</v>
      </c>
      <c r="N86" s="358" t="s">
        <v>72</v>
      </c>
      <c r="O86" s="358" t="s">
        <v>72</v>
      </c>
      <c r="P86" s="358" t="s">
        <v>72</v>
      </c>
      <c r="Q86" s="401">
        <v>1</v>
      </c>
      <c r="R86" s="401">
        <v>1</v>
      </c>
      <c r="S86" s="484">
        <v>1</v>
      </c>
    </row>
    <row r="87" spans="1:19" s="438" customFormat="1">
      <c r="A87" s="385"/>
      <c r="B87" s="386" t="s">
        <v>96</v>
      </c>
      <c r="C87" s="387"/>
      <c r="D87" s="358" t="s">
        <v>72</v>
      </c>
      <c r="E87" s="358" t="s">
        <v>72</v>
      </c>
      <c r="F87" s="358" t="s">
        <v>72</v>
      </c>
      <c r="G87" s="358" t="s">
        <v>72</v>
      </c>
      <c r="H87" s="358" t="s">
        <v>72</v>
      </c>
      <c r="I87" s="358" t="s">
        <v>72</v>
      </c>
      <c r="J87" s="358" t="s">
        <v>72</v>
      </c>
      <c r="K87" s="358" t="s">
        <v>72</v>
      </c>
      <c r="L87" s="358" t="s">
        <v>72</v>
      </c>
      <c r="M87" s="358" t="s">
        <v>72</v>
      </c>
      <c r="N87" s="358" t="s">
        <v>72</v>
      </c>
      <c r="O87" s="358" t="s">
        <v>72</v>
      </c>
      <c r="P87" s="358" t="s">
        <v>72</v>
      </c>
      <c r="Q87" s="401">
        <v>3</v>
      </c>
      <c r="R87" s="401">
        <v>4</v>
      </c>
      <c r="S87" s="484">
        <v>3</v>
      </c>
    </row>
    <row r="88" spans="1:19" s="438" customFormat="1">
      <c r="A88" s="385"/>
      <c r="B88" s="386" t="s">
        <v>97</v>
      </c>
      <c r="C88" s="387"/>
      <c r="D88" s="358" t="s">
        <v>72</v>
      </c>
      <c r="E88" s="358" t="s">
        <v>72</v>
      </c>
      <c r="F88" s="358" t="s">
        <v>72</v>
      </c>
      <c r="G88" s="358" t="s">
        <v>72</v>
      </c>
      <c r="H88" s="358" t="s">
        <v>72</v>
      </c>
      <c r="I88" s="358" t="s">
        <v>72</v>
      </c>
      <c r="J88" s="358" t="s">
        <v>72</v>
      </c>
      <c r="K88" s="358" t="s">
        <v>72</v>
      </c>
      <c r="L88" s="358" t="s">
        <v>72</v>
      </c>
      <c r="M88" s="358" t="s">
        <v>72</v>
      </c>
      <c r="N88" s="358" t="s">
        <v>72</v>
      </c>
      <c r="O88" s="358" t="s">
        <v>72</v>
      </c>
      <c r="P88" s="358" t="s">
        <v>72</v>
      </c>
      <c r="Q88" s="401">
        <v>3</v>
      </c>
      <c r="R88" s="401">
        <v>2</v>
      </c>
      <c r="S88" s="484">
        <v>4</v>
      </c>
    </row>
    <row r="89" spans="1:19" s="438" customFormat="1">
      <c r="A89" s="385"/>
      <c r="B89" s="386" t="s">
        <v>98</v>
      </c>
      <c r="C89" s="387"/>
      <c r="D89" s="358" t="s">
        <v>72</v>
      </c>
      <c r="E89" s="358" t="s">
        <v>72</v>
      </c>
      <c r="F89" s="358" t="s">
        <v>72</v>
      </c>
      <c r="G89" s="358" t="s">
        <v>72</v>
      </c>
      <c r="H89" s="358" t="s">
        <v>72</v>
      </c>
      <c r="I89" s="358" t="s">
        <v>72</v>
      </c>
      <c r="J89" s="358" t="s">
        <v>72</v>
      </c>
      <c r="K89" s="358" t="s">
        <v>72</v>
      </c>
      <c r="L89" s="358" t="s">
        <v>72</v>
      </c>
      <c r="M89" s="358" t="s">
        <v>72</v>
      </c>
      <c r="N89" s="358" t="s">
        <v>72</v>
      </c>
      <c r="O89" s="358" t="s">
        <v>72</v>
      </c>
      <c r="P89" s="358" t="s">
        <v>72</v>
      </c>
      <c r="Q89" s="401">
        <v>3</v>
      </c>
      <c r="R89" s="401">
        <v>3</v>
      </c>
      <c r="S89" s="484">
        <v>1</v>
      </c>
    </row>
    <row r="90" spans="1:19" s="438" customFormat="1">
      <c r="A90" s="385"/>
      <c r="B90" s="386" t="s">
        <v>99</v>
      </c>
      <c r="C90" s="387"/>
      <c r="D90" s="358" t="s">
        <v>72</v>
      </c>
      <c r="E90" s="358" t="s">
        <v>72</v>
      </c>
      <c r="F90" s="358" t="s">
        <v>72</v>
      </c>
      <c r="G90" s="358" t="s">
        <v>72</v>
      </c>
      <c r="H90" s="358" t="s">
        <v>72</v>
      </c>
      <c r="I90" s="358" t="s">
        <v>72</v>
      </c>
      <c r="J90" s="358" t="s">
        <v>72</v>
      </c>
      <c r="K90" s="358" t="s">
        <v>72</v>
      </c>
      <c r="L90" s="358" t="s">
        <v>72</v>
      </c>
      <c r="M90" s="358" t="s">
        <v>72</v>
      </c>
      <c r="N90" s="358" t="s">
        <v>72</v>
      </c>
      <c r="O90" s="358" t="s">
        <v>72</v>
      </c>
      <c r="P90" s="358" t="s">
        <v>72</v>
      </c>
      <c r="Q90" s="401">
        <f>SUM(Q86:Q89)</f>
        <v>10</v>
      </c>
      <c r="R90" s="401">
        <v>10</v>
      </c>
      <c r="S90" s="484">
        <v>9</v>
      </c>
    </row>
    <row r="91" spans="1:19" s="438" customFormat="1" ht="25.5">
      <c r="A91" s="458"/>
      <c r="B91" s="459" t="s">
        <v>100</v>
      </c>
      <c r="C91" s="530"/>
      <c r="D91" s="359" t="s">
        <v>72</v>
      </c>
      <c r="E91" s="359" t="s">
        <v>72</v>
      </c>
      <c r="F91" s="359" t="s">
        <v>72</v>
      </c>
      <c r="G91" s="359" t="s">
        <v>72</v>
      </c>
      <c r="H91" s="359" t="s">
        <v>72</v>
      </c>
      <c r="I91" s="359" t="s">
        <v>72</v>
      </c>
      <c r="J91" s="359" t="s">
        <v>72</v>
      </c>
      <c r="K91" s="359" t="s">
        <v>72</v>
      </c>
      <c r="L91" s="359" t="s">
        <v>72</v>
      </c>
      <c r="M91" s="359" t="s">
        <v>72</v>
      </c>
      <c r="N91" s="359" t="s">
        <v>72</v>
      </c>
      <c r="O91" s="359" t="s">
        <v>72</v>
      </c>
      <c r="P91" s="359" t="s">
        <v>72</v>
      </c>
      <c r="Q91" s="492">
        <f>Q90/Q50*100000</f>
        <v>0.15447572560724021</v>
      </c>
      <c r="R91" s="492">
        <v>0.15897758336585749</v>
      </c>
      <c r="S91" s="493">
        <v>0.15016959152536266</v>
      </c>
    </row>
    <row r="92" spans="1:19" s="438" customFormat="1">
      <c r="A92" s="531" t="s">
        <v>19</v>
      </c>
      <c r="B92" s="432" t="s">
        <v>101</v>
      </c>
      <c r="C92" s="532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533"/>
      <c r="R92" s="533"/>
      <c r="S92" s="534"/>
    </row>
    <row r="93" spans="1:19" s="438" customFormat="1">
      <c r="A93" s="531"/>
      <c r="B93" s="386" t="s">
        <v>95</v>
      </c>
      <c r="C93" s="387"/>
      <c r="D93" s="358" t="s">
        <v>72</v>
      </c>
      <c r="E93" s="358" t="s">
        <v>72</v>
      </c>
      <c r="F93" s="358" t="s">
        <v>72</v>
      </c>
      <c r="G93" s="358" t="s">
        <v>72</v>
      </c>
      <c r="H93" s="358" t="s">
        <v>72</v>
      </c>
      <c r="I93" s="358" t="s">
        <v>72</v>
      </c>
      <c r="J93" s="358" t="s">
        <v>72</v>
      </c>
      <c r="K93" s="358" t="s">
        <v>72</v>
      </c>
      <c r="L93" s="358" t="s">
        <v>72</v>
      </c>
      <c r="M93" s="358" t="s">
        <v>72</v>
      </c>
      <c r="N93" s="358" t="s">
        <v>72</v>
      </c>
      <c r="O93" s="358" t="s">
        <v>72</v>
      </c>
      <c r="P93" s="358" t="s">
        <v>72</v>
      </c>
      <c r="Q93" s="401">
        <v>3</v>
      </c>
      <c r="R93" s="401">
        <v>1</v>
      </c>
      <c r="S93" s="484">
        <v>1</v>
      </c>
    </row>
    <row r="94" spans="1:19" s="438" customFormat="1">
      <c r="A94" s="531"/>
      <c r="B94" s="386" t="s">
        <v>96</v>
      </c>
      <c r="C94" s="387"/>
      <c r="D94" s="358" t="s">
        <v>72</v>
      </c>
      <c r="E94" s="358" t="s">
        <v>72</v>
      </c>
      <c r="F94" s="358" t="s">
        <v>72</v>
      </c>
      <c r="G94" s="358" t="s">
        <v>72</v>
      </c>
      <c r="H94" s="358" t="s">
        <v>72</v>
      </c>
      <c r="I94" s="358" t="s">
        <v>72</v>
      </c>
      <c r="J94" s="358" t="s">
        <v>72</v>
      </c>
      <c r="K94" s="358" t="s">
        <v>72</v>
      </c>
      <c r="L94" s="358" t="s">
        <v>72</v>
      </c>
      <c r="M94" s="358" t="s">
        <v>72</v>
      </c>
      <c r="N94" s="358" t="s">
        <v>72</v>
      </c>
      <c r="O94" s="358" t="s">
        <v>72</v>
      </c>
      <c r="P94" s="358" t="s">
        <v>72</v>
      </c>
      <c r="Q94" s="401">
        <v>1</v>
      </c>
      <c r="R94" s="401">
        <v>4</v>
      </c>
      <c r="S94" s="484">
        <v>3</v>
      </c>
    </row>
    <row r="95" spans="1:19" s="438" customFormat="1">
      <c r="A95" s="531"/>
      <c r="B95" s="386" t="s">
        <v>97</v>
      </c>
      <c r="C95" s="387"/>
      <c r="D95" s="358" t="s">
        <v>72</v>
      </c>
      <c r="E95" s="358" t="s">
        <v>72</v>
      </c>
      <c r="F95" s="358" t="s">
        <v>72</v>
      </c>
      <c r="G95" s="358" t="s">
        <v>72</v>
      </c>
      <c r="H95" s="358" t="s">
        <v>72</v>
      </c>
      <c r="I95" s="358" t="s">
        <v>72</v>
      </c>
      <c r="J95" s="358" t="s">
        <v>72</v>
      </c>
      <c r="K95" s="358" t="s">
        <v>72</v>
      </c>
      <c r="L95" s="358" t="s">
        <v>72</v>
      </c>
      <c r="M95" s="358" t="s">
        <v>72</v>
      </c>
      <c r="N95" s="358" t="s">
        <v>72</v>
      </c>
      <c r="O95" s="358" t="s">
        <v>72</v>
      </c>
      <c r="P95" s="358" t="s">
        <v>72</v>
      </c>
      <c r="Q95" s="401">
        <v>1</v>
      </c>
      <c r="R95" s="401">
        <v>2</v>
      </c>
      <c r="S95" s="484">
        <v>3</v>
      </c>
    </row>
    <row r="96" spans="1:19" s="438" customFormat="1">
      <c r="A96" s="531"/>
      <c r="B96" s="386" t="s">
        <v>98</v>
      </c>
      <c r="C96" s="387"/>
      <c r="D96" s="358" t="s">
        <v>72</v>
      </c>
      <c r="E96" s="358" t="s">
        <v>72</v>
      </c>
      <c r="F96" s="358" t="s">
        <v>72</v>
      </c>
      <c r="G96" s="358" t="s">
        <v>72</v>
      </c>
      <c r="H96" s="358" t="s">
        <v>72</v>
      </c>
      <c r="I96" s="358" t="s">
        <v>72</v>
      </c>
      <c r="J96" s="358" t="s">
        <v>72</v>
      </c>
      <c r="K96" s="358" t="s">
        <v>72</v>
      </c>
      <c r="L96" s="358" t="s">
        <v>72</v>
      </c>
      <c r="M96" s="358" t="s">
        <v>72</v>
      </c>
      <c r="N96" s="358" t="s">
        <v>72</v>
      </c>
      <c r="O96" s="358" t="s">
        <v>72</v>
      </c>
      <c r="P96" s="358" t="s">
        <v>72</v>
      </c>
      <c r="Q96" s="401">
        <v>2</v>
      </c>
      <c r="R96" s="401">
        <v>0</v>
      </c>
      <c r="S96" s="484">
        <v>1</v>
      </c>
    </row>
    <row r="97" spans="1:19" s="438" customFormat="1">
      <c r="A97" s="531"/>
      <c r="B97" s="497" t="s">
        <v>99</v>
      </c>
      <c r="C97" s="535"/>
      <c r="D97" s="368" t="s">
        <v>72</v>
      </c>
      <c r="E97" s="368" t="s">
        <v>72</v>
      </c>
      <c r="F97" s="368" t="s">
        <v>72</v>
      </c>
      <c r="G97" s="368" t="s">
        <v>72</v>
      </c>
      <c r="H97" s="368" t="s">
        <v>72</v>
      </c>
      <c r="I97" s="368" t="s">
        <v>72</v>
      </c>
      <c r="J97" s="368" t="s">
        <v>72</v>
      </c>
      <c r="K97" s="368" t="s">
        <v>72</v>
      </c>
      <c r="L97" s="368" t="s">
        <v>72</v>
      </c>
      <c r="M97" s="368" t="s">
        <v>72</v>
      </c>
      <c r="N97" s="368" t="s">
        <v>72</v>
      </c>
      <c r="O97" s="368" t="s">
        <v>72</v>
      </c>
      <c r="P97" s="368" t="s">
        <v>72</v>
      </c>
      <c r="Q97" s="536">
        <f>SUM(Q93:Q96)</f>
        <v>7</v>
      </c>
      <c r="R97" s="536">
        <v>7</v>
      </c>
      <c r="S97" s="537">
        <v>8</v>
      </c>
    </row>
    <row r="98" spans="1:19" s="438" customFormat="1" ht="26.25" thickBot="1">
      <c r="A98" s="515"/>
      <c r="B98" s="516" t="s">
        <v>100</v>
      </c>
      <c r="C98" s="538"/>
      <c r="D98" s="366" t="s">
        <v>72</v>
      </c>
      <c r="E98" s="366" t="s">
        <v>72</v>
      </c>
      <c r="F98" s="366" t="s">
        <v>72</v>
      </c>
      <c r="G98" s="366" t="s">
        <v>72</v>
      </c>
      <c r="H98" s="366" t="s">
        <v>72</v>
      </c>
      <c r="I98" s="366" t="s">
        <v>72</v>
      </c>
      <c r="J98" s="366" t="s">
        <v>72</v>
      </c>
      <c r="K98" s="366" t="s">
        <v>72</v>
      </c>
      <c r="L98" s="366" t="s">
        <v>72</v>
      </c>
      <c r="M98" s="366" t="s">
        <v>72</v>
      </c>
      <c r="N98" s="366" t="s">
        <v>72</v>
      </c>
      <c r="O98" s="366" t="s">
        <v>72</v>
      </c>
      <c r="P98" s="366" t="s">
        <v>72</v>
      </c>
      <c r="Q98" s="518">
        <f>Q97/Q35*100000</f>
        <v>0.24712435509369191</v>
      </c>
      <c r="R98" s="518">
        <v>0.24531595468383505</v>
      </c>
      <c r="S98" s="519">
        <v>0.31120981649124158</v>
      </c>
    </row>
    <row r="99" spans="1:19" s="438" customFormat="1" ht="15" thickTop="1">
      <c r="A99" s="445"/>
      <c r="B99" s="539" t="s">
        <v>102</v>
      </c>
      <c r="C99" s="540"/>
      <c r="D99" s="356"/>
      <c r="E99" s="356"/>
      <c r="F99" s="356"/>
      <c r="G99" s="356"/>
      <c r="H99" s="356"/>
      <c r="I99" s="356"/>
      <c r="J99" s="356"/>
      <c r="K99" s="356"/>
      <c r="L99" s="356"/>
      <c r="M99" s="356"/>
      <c r="N99" s="356"/>
      <c r="O99" s="356"/>
      <c r="P99" s="356"/>
      <c r="Q99" s="529"/>
      <c r="R99" s="529"/>
      <c r="S99" s="483"/>
    </row>
    <row r="100" spans="1:19" s="438" customFormat="1">
      <c r="A100" s="385">
        <v>23</v>
      </c>
      <c r="B100" s="386" t="s">
        <v>103</v>
      </c>
      <c r="C100" s="384"/>
      <c r="D100" s="345">
        <v>99</v>
      </c>
      <c r="E100" s="345">
        <v>62</v>
      </c>
      <c r="F100" s="345">
        <v>100</v>
      </c>
      <c r="G100" s="345">
        <v>36</v>
      </c>
      <c r="H100" s="345">
        <v>55</v>
      </c>
      <c r="I100" s="345">
        <v>30</v>
      </c>
      <c r="J100" s="345">
        <v>52</v>
      </c>
      <c r="K100" s="345">
        <v>20</v>
      </c>
      <c r="L100" s="345">
        <v>2</v>
      </c>
      <c r="M100" s="345">
        <v>60</v>
      </c>
      <c r="N100" s="345">
        <v>1</v>
      </c>
      <c r="O100" s="345">
        <v>37</v>
      </c>
      <c r="P100" s="345">
        <v>46</v>
      </c>
      <c r="Q100" s="408">
        <f>SUM(D100:P100)</f>
        <v>600</v>
      </c>
      <c r="R100" s="408">
        <v>654</v>
      </c>
      <c r="S100" s="437">
        <v>800</v>
      </c>
    </row>
    <row r="101" spans="1:19" s="435" customFormat="1" ht="25.5">
      <c r="A101" s="468">
        <v>24</v>
      </c>
      <c r="B101" s="459" t="s">
        <v>104</v>
      </c>
      <c r="C101" s="541"/>
      <c r="D101" s="349">
        <f t="shared" ref="D101:Q101" si="35">SUM(D100/D50*10000)</f>
        <v>1.4667970486265445</v>
      </c>
      <c r="E101" s="349">
        <f t="shared" si="35"/>
        <v>0.73998219268658882</v>
      </c>
      <c r="F101" s="349">
        <f t="shared" si="35"/>
        <v>1.4218804653530386</v>
      </c>
      <c r="G101" s="349">
        <f t="shared" si="35"/>
        <v>0.57558649865936318</v>
      </c>
      <c r="H101" s="349">
        <f t="shared" si="35"/>
        <v>0.78989735642897452</v>
      </c>
      <c r="I101" s="349">
        <f t="shared" si="35"/>
        <v>0.83798882681564246</v>
      </c>
      <c r="J101" s="349">
        <f t="shared" si="35"/>
        <v>1.0510974872706031</v>
      </c>
      <c r="K101" s="349">
        <f t="shared" si="35"/>
        <v>0.43357425609497013</v>
      </c>
      <c r="L101" s="349">
        <f t="shared" si="35"/>
        <v>5.9815051859649963E-2</v>
      </c>
      <c r="M101" s="349">
        <f t="shared" si="35"/>
        <v>0.91003127474147527</v>
      </c>
      <c r="N101" s="349">
        <f t="shared" si="35"/>
        <v>1.0279605263157894</v>
      </c>
      <c r="O101" s="349">
        <f t="shared" si="35"/>
        <v>1.0833601733376277</v>
      </c>
      <c r="P101" s="349">
        <f t="shared" si="35"/>
        <v>1.6622580691788444</v>
      </c>
      <c r="Q101" s="461">
        <f t="shared" si="35"/>
        <v>0.92685435364344126</v>
      </c>
      <c r="R101" s="461">
        <v>1.039713395212708</v>
      </c>
      <c r="S101" s="462">
        <v>1.334840813558779</v>
      </c>
    </row>
    <row r="102" spans="1:19" s="542" customFormat="1" ht="25.5">
      <c r="A102" s="431">
        <v>25</v>
      </c>
      <c r="B102" s="432" t="s">
        <v>105</v>
      </c>
      <c r="C102" s="540"/>
      <c r="D102" s="345">
        <v>112549</v>
      </c>
      <c r="E102" s="345">
        <v>13623</v>
      </c>
      <c r="F102" s="345">
        <v>119345</v>
      </c>
      <c r="G102" s="345">
        <f>113660+9155</f>
        <v>122815</v>
      </c>
      <c r="H102" s="345">
        <v>117879</v>
      </c>
      <c r="I102" s="345">
        <v>82625</v>
      </c>
      <c r="J102" s="345">
        <v>135937</v>
      </c>
      <c r="K102" s="345">
        <v>59122</v>
      </c>
      <c r="L102" s="345">
        <v>0</v>
      </c>
      <c r="M102" s="345">
        <v>22110</v>
      </c>
      <c r="N102" s="345">
        <v>0</v>
      </c>
      <c r="O102" s="345">
        <v>12655</v>
      </c>
      <c r="P102" s="345">
        <v>18509</v>
      </c>
      <c r="Q102" s="400">
        <f>SUM(D102:P102)</f>
        <v>817169</v>
      </c>
      <c r="R102" s="400">
        <v>898179</v>
      </c>
      <c r="S102" s="483">
        <v>1163755</v>
      </c>
    </row>
    <row r="103" spans="1:19" s="452" customFormat="1" ht="25.5">
      <c r="A103" s="487"/>
      <c r="B103" s="386" t="s">
        <v>106</v>
      </c>
      <c r="C103" s="543"/>
      <c r="D103" s="348">
        <f>D102/C5</f>
        <v>3751.6333333333332</v>
      </c>
      <c r="E103" s="348">
        <f>E102/C5</f>
        <v>454.1</v>
      </c>
      <c r="F103" s="348">
        <f>F102/C5</f>
        <v>3978.1666666666665</v>
      </c>
      <c r="G103" s="348">
        <f>G102/C5</f>
        <v>4093.8333333333335</v>
      </c>
      <c r="H103" s="348">
        <f>H102/C5</f>
        <v>3929.3</v>
      </c>
      <c r="I103" s="348">
        <f>I102/C5</f>
        <v>2754.1666666666665</v>
      </c>
      <c r="J103" s="348">
        <f>J102/C5</f>
        <v>4531.2333333333336</v>
      </c>
      <c r="K103" s="348">
        <f>K102/C5</f>
        <v>1970.7333333333333</v>
      </c>
      <c r="L103" s="348">
        <f>L102/C5</f>
        <v>0</v>
      </c>
      <c r="M103" s="348">
        <f>M102/C5</f>
        <v>737</v>
      </c>
      <c r="N103" s="348">
        <f>N102/C5</f>
        <v>0</v>
      </c>
      <c r="O103" s="348">
        <f>O102/C5</f>
        <v>421.83333333333331</v>
      </c>
      <c r="P103" s="348">
        <f>P102/C5</f>
        <v>616.9666666666667</v>
      </c>
      <c r="Q103" s="388">
        <f>Q102/C5</f>
        <v>27238.966666666667</v>
      </c>
      <c r="R103" s="388">
        <v>28974</v>
      </c>
      <c r="S103" s="456">
        <v>38791.833333333336</v>
      </c>
    </row>
    <row r="104" spans="1:19" ht="25.5">
      <c r="A104" s="385"/>
      <c r="B104" s="386" t="s">
        <v>107</v>
      </c>
      <c r="C104" s="387"/>
      <c r="D104" s="345">
        <v>62.53</v>
      </c>
      <c r="E104" s="345">
        <v>56.76</v>
      </c>
      <c r="F104" s="345">
        <v>63.15</v>
      </c>
      <c r="G104" s="345">
        <v>67.11</v>
      </c>
      <c r="H104" s="345">
        <v>74.14</v>
      </c>
      <c r="I104" s="345">
        <v>72.48</v>
      </c>
      <c r="J104" s="345">
        <v>66.64</v>
      </c>
      <c r="K104" s="345">
        <v>61.59</v>
      </c>
      <c r="L104" s="345">
        <v>0</v>
      </c>
      <c r="M104" s="345">
        <v>61.42</v>
      </c>
      <c r="N104" s="345">
        <v>0</v>
      </c>
      <c r="O104" s="345">
        <v>60.26</v>
      </c>
      <c r="P104" s="345">
        <v>51.41</v>
      </c>
      <c r="Q104" s="520">
        <v>65.790000000000006</v>
      </c>
      <c r="R104" s="520">
        <v>62.42</v>
      </c>
      <c r="S104" s="521">
        <v>64.650000000000006</v>
      </c>
    </row>
    <row r="105" spans="1:19" ht="25.5">
      <c r="A105" s="385"/>
      <c r="B105" s="386" t="s">
        <v>108</v>
      </c>
      <c r="C105" s="387"/>
      <c r="D105" s="345">
        <v>95053</v>
      </c>
      <c r="E105" s="345">
        <v>246827</v>
      </c>
      <c r="F105" s="345">
        <v>110395</v>
      </c>
      <c r="G105" s="345">
        <v>77514</v>
      </c>
      <c r="H105" s="345">
        <v>99151</v>
      </c>
      <c r="I105" s="345">
        <v>34656</v>
      </c>
      <c r="J105" s="345">
        <v>43294</v>
      </c>
      <c r="K105" s="345">
        <v>70187</v>
      </c>
      <c r="L105" s="345">
        <v>94012</v>
      </c>
      <c r="M105" s="345">
        <v>172090</v>
      </c>
      <c r="N105" s="345">
        <v>3731</v>
      </c>
      <c r="O105" s="345">
        <v>99297</v>
      </c>
      <c r="P105" s="345">
        <v>66768</v>
      </c>
      <c r="Q105" s="388">
        <f>SUM(D105:P105)</f>
        <v>1212975</v>
      </c>
      <c r="R105" s="388">
        <v>1112896</v>
      </c>
      <c r="S105" s="456">
        <v>720373</v>
      </c>
    </row>
    <row r="106" spans="1:19" ht="25.5">
      <c r="A106" s="385"/>
      <c r="B106" s="386" t="s">
        <v>109</v>
      </c>
      <c r="C106" s="387"/>
      <c r="D106" s="348">
        <f>D105/C5</f>
        <v>3168.4333333333334</v>
      </c>
      <c r="E106" s="348">
        <f>E105/C5</f>
        <v>8227.5666666666675</v>
      </c>
      <c r="F106" s="348">
        <f>F105/C5</f>
        <v>3679.8333333333335</v>
      </c>
      <c r="G106" s="348">
        <f>G105/C5</f>
        <v>2583.8000000000002</v>
      </c>
      <c r="H106" s="348">
        <f>H105/C5</f>
        <v>3305.0333333333333</v>
      </c>
      <c r="I106" s="348">
        <f>I105/C5</f>
        <v>1155.2</v>
      </c>
      <c r="J106" s="348">
        <f>J105/C5</f>
        <v>1443.1333333333334</v>
      </c>
      <c r="K106" s="348">
        <f>K105/C5</f>
        <v>2339.5666666666666</v>
      </c>
      <c r="L106" s="348">
        <f>L105/C5</f>
        <v>3133.7333333333331</v>
      </c>
      <c r="M106" s="348">
        <f>M105/C5</f>
        <v>5736.333333333333</v>
      </c>
      <c r="N106" s="348">
        <f>N105/C5</f>
        <v>124.36666666666666</v>
      </c>
      <c r="O106" s="348">
        <f>O105/C5</f>
        <v>3309.9</v>
      </c>
      <c r="P106" s="348">
        <f>P105/C5</f>
        <v>2225.6</v>
      </c>
      <c r="Q106" s="388">
        <f>Q105/C5</f>
        <v>40432.5</v>
      </c>
      <c r="R106" s="388">
        <v>35899.870967741932</v>
      </c>
      <c r="S106" s="456">
        <v>24012.433333333334</v>
      </c>
    </row>
    <row r="107" spans="1:19" s="435" customFormat="1" ht="25.5">
      <c r="A107" s="544"/>
      <c r="B107" s="432" t="s">
        <v>110</v>
      </c>
      <c r="C107" s="545"/>
      <c r="D107" s="345">
        <v>62.64</v>
      </c>
      <c r="E107" s="345">
        <v>72.150000000000006</v>
      </c>
      <c r="F107" s="345">
        <v>64.989999999999995</v>
      </c>
      <c r="G107" s="345">
        <v>57.05</v>
      </c>
      <c r="H107" s="345">
        <v>69.47</v>
      </c>
      <c r="I107" s="345">
        <v>61.06</v>
      </c>
      <c r="J107" s="345">
        <v>69.42</v>
      </c>
      <c r="K107" s="365">
        <v>74</v>
      </c>
      <c r="L107" s="345">
        <v>72.88</v>
      </c>
      <c r="M107" s="345">
        <v>73.819999999999993</v>
      </c>
      <c r="N107" s="345">
        <v>62.18</v>
      </c>
      <c r="O107" s="345">
        <v>72.69</v>
      </c>
      <c r="P107" s="345">
        <v>73.37</v>
      </c>
      <c r="Q107" s="546">
        <v>69</v>
      </c>
      <c r="R107" s="546">
        <v>68.66</v>
      </c>
      <c r="S107" s="547">
        <v>73.77</v>
      </c>
    </row>
    <row r="108" spans="1:19" s="438" customFormat="1">
      <c r="A108" s="499">
        <v>26</v>
      </c>
      <c r="B108" s="500" t="s">
        <v>111</v>
      </c>
      <c r="C108" s="532"/>
      <c r="D108" s="369">
        <f>SUM(D48/D102)</f>
        <v>3.2639739135843056</v>
      </c>
      <c r="E108" s="369">
        <f>SUM(E48/E102)</f>
        <v>4.0138735961242018</v>
      </c>
      <c r="F108" s="369">
        <f t="shared" ref="F108:O108" si="36">SUM(F48/F102)</f>
        <v>3.1122711466756043</v>
      </c>
      <c r="G108" s="369">
        <f t="shared" si="36"/>
        <v>2.9166225623905873</v>
      </c>
      <c r="H108" s="369">
        <f t="shared" si="36"/>
        <v>3.1244496475199144</v>
      </c>
      <c r="I108" s="369">
        <f t="shared" si="36"/>
        <v>2.8946081694402421</v>
      </c>
      <c r="J108" s="369">
        <f t="shared" si="36"/>
        <v>2.7892185350566807</v>
      </c>
      <c r="K108" s="369">
        <f t="shared" si="36"/>
        <v>3.9477859341700214</v>
      </c>
      <c r="L108" s="369" t="e">
        <f t="shared" si="36"/>
        <v>#DIV/0!</v>
      </c>
      <c r="M108" s="369">
        <f t="shared" si="36"/>
        <v>4.074762550881954</v>
      </c>
      <c r="N108" s="369" t="e">
        <f t="shared" si="36"/>
        <v>#DIV/0!</v>
      </c>
      <c r="O108" s="369">
        <f t="shared" si="36"/>
        <v>3.8027657052548398</v>
      </c>
      <c r="P108" s="369">
        <f>SUM(P48/P102)</f>
        <v>4.1523042844021827</v>
      </c>
      <c r="Q108" s="548">
        <f>SUM(Q48/Q102)</f>
        <v>3.1655410325159177</v>
      </c>
      <c r="R108" s="548">
        <v>3.193174189109298</v>
      </c>
      <c r="S108" s="549">
        <v>3.3544904210937867</v>
      </c>
    </row>
    <row r="109" spans="1:19" s="438" customFormat="1">
      <c r="A109" s="385"/>
      <c r="B109" s="432" t="s">
        <v>112</v>
      </c>
      <c r="C109" s="387"/>
      <c r="D109" s="364">
        <f t="shared" ref="D109:Q109" si="37">SUM(D49/D105)</f>
        <v>3.2359104920412824</v>
      </c>
      <c r="E109" s="364">
        <f t="shared" si="37"/>
        <v>3.172979455245982</v>
      </c>
      <c r="F109" s="364">
        <f t="shared" si="37"/>
        <v>3.0061144073554056</v>
      </c>
      <c r="G109" s="364">
        <f t="shared" si="37"/>
        <v>3.447686869468741</v>
      </c>
      <c r="H109" s="364">
        <f t="shared" si="37"/>
        <v>3.3079444483666327</v>
      </c>
      <c r="I109" s="364">
        <f t="shared" si="37"/>
        <v>3.4289300554016622</v>
      </c>
      <c r="J109" s="364">
        <f t="shared" si="37"/>
        <v>2.6692613295144825</v>
      </c>
      <c r="K109" s="364">
        <f t="shared" si="37"/>
        <v>3.2467693447504522</v>
      </c>
      <c r="L109" s="364">
        <f t="shared" si="37"/>
        <v>3.55660979449432</v>
      </c>
      <c r="M109" s="364">
        <f t="shared" si="37"/>
        <v>3.3077168923237839</v>
      </c>
      <c r="N109" s="364">
        <f t="shared" si="37"/>
        <v>2.6073438756365586</v>
      </c>
      <c r="O109" s="364">
        <f t="shared" si="37"/>
        <v>2.9548324722801294</v>
      </c>
      <c r="P109" s="364">
        <f>SUM(P49/P105)</f>
        <v>2.9936047208243468</v>
      </c>
      <c r="Q109" s="520">
        <f t="shared" si="37"/>
        <v>3.2042927512933077</v>
      </c>
      <c r="R109" s="520">
        <v>3.0749980231755707</v>
      </c>
      <c r="S109" s="521">
        <v>2.9004682296532489</v>
      </c>
    </row>
    <row r="110" spans="1:19" s="438" customFormat="1" ht="25.5">
      <c r="A110" s="445">
        <v>27</v>
      </c>
      <c r="B110" s="432" t="s">
        <v>113</v>
      </c>
      <c r="C110" s="550"/>
      <c r="D110" s="345">
        <v>1280</v>
      </c>
      <c r="E110" s="345">
        <v>647</v>
      </c>
      <c r="F110" s="345">
        <v>912</v>
      </c>
      <c r="G110" s="345">
        <v>451</v>
      </c>
      <c r="H110" s="345">
        <v>773</v>
      </c>
      <c r="I110" s="345">
        <v>332</v>
      </c>
      <c r="J110" s="345">
        <v>711</v>
      </c>
      <c r="K110" s="345">
        <v>201</v>
      </c>
      <c r="L110" s="345">
        <v>96</v>
      </c>
      <c r="M110" s="345">
        <v>737</v>
      </c>
      <c r="N110" s="345">
        <v>11</v>
      </c>
      <c r="O110" s="345">
        <v>557</v>
      </c>
      <c r="P110" s="345">
        <v>559</v>
      </c>
      <c r="Q110" s="400">
        <f>SUM(D110:P110)</f>
        <v>7267</v>
      </c>
      <c r="R110" s="400">
        <v>8397</v>
      </c>
      <c r="S110" s="483">
        <v>10170</v>
      </c>
    </row>
    <row r="111" spans="1:19" s="438" customFormat="1" ht="25.5">
      <c r="A111" s="385"/>
      <c r="B111" s="432" t="s">
        <v>178</v>
      </c>
      <c r="C111" s="387"/>
      <c r="D111" s="370">
        <f t="shared" ref="D111:Q111" si="38">SUM(D110)/$C5</f>
        <v>42.666666666666664</v>
      </c>
      <c r="E111" s="370">
        <f t="shared" si="38"/>
        <v>21.566666666666666</v>
      </c>
      <c r="F111" s="370">
        <f t="shared" si="38"/>
        <v>30.4</v>
      </c>
      <c r="G111" s="370">
        <f t="shared" si="38"/>
        <v>15.033333333333333</v>
      </c>
      <c r="H111" s="370">
        <f t="shared" si="38"/>
        <v>25.766666666666666</v>
      </c>
      <c r="I111" s="370">
        <f t="shared" si="38"/>
        <v>11.066666666666666</v>
      </c>
      <c r="J111" s="370">
        <f t="shared" si="38"/>
        <v>23.7</v>
      </c>
      <c r="K111" s="370">
        <f t="shared" si="38"/>
        <v>6.7</v>
      </c>
      <c r="L111" s="370">
        <f t="shared" si="38"/>
        <v>3.2</v>
      </c>
      <c r="M111" s="370">
        <f t="shared" si="38"/>
        <v>24.566666666666666</v>
      </c>
      <c r="N111" s="370">
        <f t="shared" si="38"/>
        <v>0.36666666666666664</v>
      </c>
      <c r="O111" s="370">
        <f t="shared" si="38"/>
        <v>18.566666666666666</v>
      </c>
      <c r="P111" s="370">
        <f t="shared" si="38"/>
        <v>18.633333333333333</v>
      </c>
      <c r="Q111" s="551">
        <f t="shared" si="38"/>
        <v>242.23333333333332</v>
      </c>
      <c r="R111" s="551">
        <v>270.87</v>
      </c>
      <c r="S111" s="552">
        <v>339</v>
      </c>
    </row>
    <row r="112" spans="1:19" s="438" customFormat="1">
      <c r="A112" s="385">
        <v>28</v>
      </c>
      <c r="B112" s="386" t="s">
        <v>115</v>
      </c>
      <c r="C112" s="526"/>
      <c r="D112" s="370">
        <f t="shared" ref="D112:Q112" si="39">SUM(D50/D110)</f>
        <v>527.296875</v>
      </c>
      <c r="E112" s="370">
        <f t="shared" si="39"/>
        <v>1294.9891808346213</v>
      </c>
      <c r="F112" s="370">
        <f t="shared" si="39"/>
        <v>771.15570175438597</v>
      </c>
      <c r="G112" s="370">
        <f t="shared" si="39"/>
        <v>1386.8048780487804</v>
      </c>
      <c r="H112" s="370">
        <f t="shared" si="39"/>
        <v>900.76714100905565</v>
      </c>
      <c r="I112" s="370">
        <f t="shared" si="39"/>
        <v>1078.3132530120481</v>
      </c>
      <c r="J112" s="370">
        <f t="shared" si="39"/>
        <v>695.81012658227849</v>
      </c>
      <c r="K112" s="370">
        <f t="shared" si="39"/>
        <v>2294.9353233830848</v>
      </c>
      <c r="L112" s="370">
        <f t="shared" si="39"/>
        <v>3482.9583333333335</v>
      </c>
      <c r="M112" s="370">
        <f t="shared" si="39"/>
        <v>894.59701492537317</v>
      </c>
      <c r="N112" s="370">
        <f t="shared" si="39"/>
        <v>884.36363636363637</v>
      </c>
      <c r="O112" s="370">
        <f t="shared" si="39"/>
        <v>613.15978456014363</v>
      </c>
      <c r="P112" s="370">
        <f t="shared" si="39"/>
        <v>495.04830053667263</v>
      </c>
      <c r="Q112" s="551">
        <f t="shared" si="39"/>
        <v>890.80899958717487</v>
      </c>
      <c r="R112" s="551">
        <v>749.10027390734786</v>
      </c>
      <c r="S112" s="553">
        <v>589.30422812192728</v>
      </c>
    </row>
    <row r="113" spans="1:19" s="438" customFormat="1" ht="25.5">
      <c r="A113" s="385">
        <v>29</v>
      </c>
      <c r="B113" s="386" t="s">
        <v>116</v>
      </c>
      <c r="C113" s="526"/>
      <c r="D113" s="345">
        <v>18</v>
      </c>
      <c r="E113" s="345">
        <v>11</v>
      </c>
      <c r="F113" s="345">
        <v>11</v>
      </c>
      <c r="G113" s="345">
        <v>15</v>
      </c>
      <c r="H113" s="345">
        <v>29</v>
      </c>
      <c r="I113" s="345">
        <v>10</v>
      </c>
      <c r="J113" s="345">
        <v>14</v>
      </c>
      <c r="K113" s="345">
        <v>14</v>
      </c>
      <c r="L113" s="345">
        <v>11</v>
      </c>
      <c r="M113" s="345">
        <v>15</v>
      </c>
      <c r="N113" s="345">
        <v>0</v>
      </c>
      <c r="O113" s="345">
        <v>17</v>
      </c>
      <c r="P113" s="345">
        <v>10</v>
      </c>
      <c r="Q113" s="554">
        <f>SUM(D113:P113)</f>
        <v>175</v>
      </c>
      <c r="R113" s="554">
        <v>201</v>
      </c>
      <c r="S113" s="555">
        <v>221</v>
      </c>
    </row>
    <row r="114" spans="1:19" s="438" customFormat="1">
      <c r="A114" s="385">
        <v>30</v>
      </c>
      <c r="B114" s="386" t="s">
        <v>180</v>
      </c>
      <c r="C114" s="387"/>
      <c r="D114" s="352">
        <v>49999</v>
      </c>
      <c r="E114" s="352">
        <v>50032.090909090912</v>
      </c>
      <c r="F114" s="352">
        <v>52035.63636363636</v>
      </c>
      <c r="G114" s="352">
        <v>48729.933333333334</v>
      </c>
      <c r="H114" s="352">
        <v>55757</v>
      </c>
      <c r="I114" s="352">
        <v>56822.5</v>
      </c>
      <c r="J114" s="352">
        <v>55760.642857142855</v>
      </c>
      <c r="K114" s="352">
        <v>48610.642857142855</v>
      </c>
      <c r="L114" s="352">
        <v>49968.545454545456</v>
      </c>
      <c r="M114" s="352">
        <v>31684.799999999999</v>
      </c>
      <c r="N114" s="352" t="e">
        <v>#DIV/0!</v>
      </c>
      <c r="O114" s="352">
        <v>51277.647058823532</v>
      </c>
      <c r="P114" s="352">
        <v>46144.9</v>
      </c>
      <c r="Q114" s="388">
        <v>50046.554285714286</v>
      </c>
      <c r="R114" s="388">
        <v>51725.537313432833</v>
      </c>
      <c r="S114" s="556">
        <v>46345.470588235294</v>
      </c>
    </row>
    <row r="115" spans="1:19" s="438" customFormat="1" ht="25.5">
      <c r="A115" s="496">
        <v>31</v>
      </c>
      <c r="B115" s="497" t="s">
        <v>118</v>
      </c>
      <c r="C115" s="545"/>
      <c r="D115" s="345">
        <v>11</v>
      </c>
      <c r="E115" s="345">
        <v>21</v>
      </c>
      <c r="F115" s="345">
        <v>18</v>
      </c>
      <c r="G115" s="345">
        <v>13</v>
      </c>
      <c r="H115" s="345">
        <v>20</v>
      </c>
      <c r="I115" s="345">
        <v>20</v>
      </c>
      <c r="J115" s="345">
        <v>14</v>
      </c>
      <c r="K115" s="345">
        <v>10</v>
      </c>
      <c r="L115" s="345">
        <v>12</v>
      </c>
      <c r="M115" s="345">
        <v>20</v>
      </c>
      <c r="N115" s="345">
        <v>0</v>
      </c>
      <c r="O115" s="345">
        <v>14</v>
      </c>
      <c r="P115" s="345">
        <v>9</v>
      </c>
      <c r="Q115" s="554">
        <f>SUM(D115:P115)</f>
        <v>182</v>
      </c>
      <c r="R115" s="554">
        <v>170</v>
      </c>
      <c r="S115" s="555">
        <v>280</v>
      </c>
    </row>
    <row r="116" spans="1:19" s="435" customFormat="1" ht="15" thickBot="1">
      <c r="A116" s="557">
        <v>32</v>
      </c>
      <c r="B116" s="516" t="s">
        <v>179</v>
      </c>
      <c r="C116" s="527"/>
      <c r="D116" s="371">
        <v>39732.727272727272</v>
      </c>
      <c r="E116" s="371">
        <v>38235.142857142855</v>
      </c>
      <c r="F116" s="371">
        <v>42351.111111111109</v>
      </c>
      <c r="G116" s="371">
        <v>41055.461538461539</v>
      </c>
      <c r="H116" s="371">
        <v>37585</v>
      </c>
      <c r="I116" s="371">
        <v>38288.6</v>
      </c>
      <c r="J116" s="371">
        <v>45993</v>
      </c>
      <c r="K116" s="371">
        <v>36618</v>
      </c>
      <c r="L116" s="371">
        <v>38998.416666666664</v>
      </c>
      <c r="M116" s="371">
        <v>31649</v>
      </c>
      <c r="N116" s="371" t="e">
        <v>#DIV/0!</v>
      </c>
      <c r="O116" s="371">
        <v>32048.571428571428</v>
      </c>
      <c r="P116" s="371">
        <v>40364.666666666664</v>
      </c>
      <c r="Q116" s="558">
        <v>38332.505494505494</v>
      </c>
      <c r="R116" s="558">
        <v>39070.347058823529</v>
      </c>
      <c r="S116" s="559">
        <v>38336.442857142858</v>
      </c>
    </row>
    <row r="117" spans="1:19" s="435" customFormat="1" ht="15" thickTop="1">
      <c r="A117" s="675" t="s">
        <v>120</v>
      </c>
      <c r="B117" s="676"/>
      <c r="C117" s="540"/>
      <c r="D117" s="345"/>
      <c r="E117" s="345"/>
      <c r="F117" s="345"/>
      <c r="G117" s="345"/>
      <c r="H117" s="345"/>
      <c r="I117" s="345"/>
      <c r="J117" s="345" t="s">
        <v>121</v>
      </c>
      <c r="K117" s="345"/>
      <c r="L117" s="345"/>
      <c r="M117" s="345"/>
      <c r="N117" s="345"/>
      <c r="O117" s="345"/>
      <c r="P117" s="345"/>
      <c r="Q117" s="399"/>
      <c r="R117" s="399"/>
      <c r="S117" s="560"/>
    </row>
    <row r="118" spans="1:19" s="438" customFormat="1">
      <c r="A118" s="385">
        <v>33</v>
      </c>
      <c r="B118" s="488" t="s">
        <v>122</v>
      </c>
      <c r="C118" s="561" t="s">
        <v>123</v>
      </c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520"/>
      <c r="R118" s="520"/>
      <c r="S118" s="456"/>
    </row>
    <row r="119" spans="1:19" s="438" customFormat="1">
      <c r="A119" s="385"/>
      <c r="B119" s="386" t="s">
        <v>124</v>
      </c>
      <c r="C119" s="562">
        <v>1</v>
      </c>
      <c r="D119" s="358" t="s">
        <v>72</v>
      </c>
      <c r="E119" s="358" t="s">
        <v>72</v>
      </c>
      <c r="F119" s="358" t="s">
        <v>72</v>
      </c>
      <c r="G119" s="358" t="s">
        <v>72</v>
      </c>
      <c r="H119" s="358" t="s">
        <v>72</v>
      </c>
      <c r="I119" s="358" t="s">
        <v>72</v>
      </c>
      <c r="J119" s="358" t="s">
        <v>72</v>
      </c>
      <c r="K119" s="358" t="s">
        <v>72</v>
      </c>
      <c r="L119" s="358" t="s">
        <v>72</v>
      </c>
      <c r="M119" s="358" t="s">
        <v>72</v>
      </c>
      <c r="N119" s="358" t="s">
        <v>72</v>
      </c>
      <c r="O119" s="358" t="s">
        <v>72</v>
      </c>
      <c r="P119" s="358" t="s">
        <v>72</v>
      </c>
      <c r="Q119" s="520">
        <v>0.43789035392088826</v>
      </c>
      <c r="R119" s="520">
        <v>0.45</v>
      </c>
      <c r="S119" s="521">
        <v>0.5</v>
      </c>
    </row>
    <row r="120" spans="1:19" s="438" customFormat="1">
      <c r="A120" s="385"/>
      <c r="B120" s="386" t="s">
        <v>125</v>
      </c>
      <c r="C120" s="562">
        <v>6.5</v>
      </c>
      <c r="D120" s="358" t="s">
        <v>72</v>
      </c>
      <c r="E120" s="358" t="s">
        <v>72</v>
      </c>
      <c r="F120" s="358" t="s">
        <v>72</v>
      </c>
      <c r="G120" s="358" t="s">
        <v>72</v>
      </c>
      <c r="H120" s="358" t="s">
        <v>72</v>
      </c>
      <c r="I120" s="358" t="s">
        <v>72</v>
      </c>
      <c r="J120" s="358" t="s">
        <v>72</v>
      </c>
      <c r="K120" s="358" t="s">
        <v>72</v>
      </c>
      <c r="L120" s="358" t="s">
        <v>72</v>
      </c>
      <c r="M120" s="358" t="s">
        <v>72</v>
      </c>
      <c r="N120" s="358" t="s">
        <v>72</v>
      </c>
      <c r="O120" s="358" t="s">
        <v>72</v>
      </c>
      <c r="P120" s="358" t="s">
        <v>72</v>
      </c>
      <c r="Q120" s="520">
        <v>4.7772380291464263</v>
      </c>
      <c r="R120" s="520">
        <v>4.8</v>
      </c>
      <c r="S120" s="521">
        <v>5.12</v>
      </c>
    </row>
    <row r="121" spans="1:19" s="438" customFormat="1">
      <c r="A121" s="385"/>
      <c r="B121" s="386" t="s">
        <v>126</v>
      </c>
      <c r="C121" s="563">
        <v>1.5</v>
      </c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520">
        <v>0.93060374739764051</v>
      </c>
      <c r="R121" s="520">
        <v>0.94</v>
      </c>
      <c r="S121" s="521">
        <v>0.98</v>
      </c>
    </row>
    <row r="122" spans="1:19" s="438" customFormat="1" ht="15">
      <c r="A122" s="496"/>
      <c r="B122" s="488" t="s">
        <v>127</v>
      </c>
      <c r="C122" s="564">
        <f>SUM(C119:C121)</f>
        <v>9</v>
      </c>
      <c r="D122" s="358" t="s">
        <v>72</v>
      </c>
      <c r="E122" s="358" t="s">
        <v>72</v>
      </c>
      <c r="F122" s="358" t="s">
        <v>72</v>
      </c>
      <c r="G122" s="358" t="s">
        <v>72</v>
      </c>
      <c r="H122" s="358" t="s">
        <v>72</v>
      </c>
      <c r="I122" s="358" t="s">
        <v>72</v>
      </c>
      <c r="J122" s="358" t="s">
        <v>72</v>
      </c>
      <c r="K122" s="358" t="s">
        <v>72</v>
      </c>
      <c r="L122" s="358" t="s">
        <v>72</v>
      </c>
      <c r="M122" s="358" t="s">
        <v>72</v>
      </c>
      <c r="N122" s="358" t="s">
        <v>72</v>
      </c>
      <c r="O122" s="358" t="s">
        <v>72</v>
      </c>
      <c r="P122" s="358" t="s">
        <v>72</v>
      </c>
      <c r="Q122" s="520">
        <f>SUM(Q119:Q121)</f>
        <v>6.145732130464955</v>
      </c>
      <c r="R122" s="520">
        <v>6.1899999999999995</v>
      </c>
      <c r="S122" s="521">
        <v>6.6</v>
      </c>
    </row>
    <row r="123" spans="1:19" s="438" customFormat="1" ht="38.25">
      <c r="A123" s="445">
        <v>34</v>
      </c>
      <c r="B123" s="432" t="s">
        <v>128</v>
      </c>
      <c r="C123" s="540"/>
      <c r="D123" s="356" t="s">
        <v>72</v>
      </c>
      <c r="E123" s="356" t="s">
        <v>72</v>
      </c>
      <c r="F123" s="356" t="s">
        <v>72</v>
      </c>
      <c r="G123" s="356" t="s">
        <v>72</v>
      </c>
      <c r="H123" s="356" t="s">
        <v>72</v>
      </c>
      <c r="I123" s="356" t="s">
        <v>72</v>
      </c>
      <c r="J123" s="356" t="s">
        <v>72</v>
      </c>
      <c r="K123" s="356" t="s">
        <v>72</v>
      </c>
      <c r="L123" s="356" t="s">
        <v>72</v>
      </c>
      <c r="M123" s="356" t="s">
        <v>72</v>
      </c>
      <c r="N123" s="356" t="s">
        <v>72</v>
      </c>
      <c r="O123" s="356" t="s">
        <v>72</v>
      </c>
      <c r="P123" s="356" t="s">
        <v>72</v>
      </c>
      <c r="Q123" s="565">
        <v>1115.29</v>
      </c>
      <c r="R123" s="565">
        <v>1074.55</v>
      </c>
      <c r="S123" s="566">
        <v>1029.44</v>
      </c>
    </row>
    <row r="124" spans="1:19" s="438" customFormat="1" ht="25.5">
      <c r="A124" s="458">
        <v>35</v>
      </c>
      <c r="B124" s="459" t="s">
        <v>129</v>
      </c>
      <c r="C124" s="302">
        <v>91</v>
      </c>
      <c r="D124" s="345">
        <v>283</v>
      </c>
      <c r="E124" s="345">
        <v>333</v>
      </c>
      <c r="F124" s="345">
        <v>240</v>
      </c>
      <c r="G124" s="345">
        <v>83</v>
      </c>
      <c r="H124" s="345">
        <v>185</v>
      </c>
      <c r="I124" s="345">
        <v>54</v>
      </c>
      <c r="J124" s="345">
        <v>227</v>
      </c>
      <c r="K124" s="345">
        <v>187</v>
      </c>
      <c r="L124" s="345">
        <v>126</v>
      </c>
      <c r="M124" s="345">
        <v>300</v>
      </c>
      <c r="N124" s="345">
        <v>58</v>
      </c>
      <c r="O124" s="345">
        <v>71</v>
      </c>
      <c r="P124" s="345">
        <v>352</v>
      </c>
      <c r="Q124" s="554">
        <f>SUM(C124:P124)</f>
        <v>2590</v>
      </c>
      <c r="R124" s="554">
        <v>2126</v>
      </c>
      <c r="S124" s="476">
        <v>1602</v>
      </c>
    </row>
    <row r="125" spans="1:19" s="438" customFormat="1" ht="38.25">
      <c r="A125" s="499">
        <v>36</v>
      </c>
      <c r="B125" s="500" t="s">
        <v>130</v>
      </c>
      <c r="C125" s="567"/>
      <c r="D125" s="372" t="s">
        <v>72</v>
      </c>
      <c r="E125" s="372" t="s">
        <v>72</v>
      </c>
      <c r="F125" s="372" t="s">
        <v>72</v>
      </c>
      <c r="G125" s="372" t="s">
        <v>72</v>
      </c>
      <c r="H125" s="372" t="s">
        <v>72</v>
      </c>
      <c r="I125" s="372" t="s">
        <v>72</v>
      </c>
      <c r="J125" s="372" t="s">
        <v>72</v>
      </c>
      <c r="K125" s="372" t="s">
        <v>72</v>
      </c>
      <c r="L125" s="372" t="s">
        <v>72</v>
      </c>
      <c r="M125" s="372" t="s">
        <v>72</v>
      </c>
      <c r="N125" s="372" t="s">
        <v>72</v>
      </c>
      <c r="O125" s="372" t="s">
        <v>72</v>
      </c>
      <c r="P125" s="372" t="s">
        <v>72</v>
      </c>
      <c r="Q125" s="407">
        <v>1225</v>
      </c>
      <c r="R125" s="407">
        <v>1418</v>
      </c>
      <c r="S125" s="568">
        <v>1588</v>
      </c>
    </row>
    <row r="126" spans="1:19" s="438" customFormat="1">
      <c r="A126" s="445">
        <v>37</v>
      </c>
      <c r="B126" s="432" t="s">
        <v>131</v>
      </c>
      <c r="C126" s="446"/>
      <c r="D126" s="356" t="s">
        <v>72</v>
      </c>
      <c r="E126" s="356" t="s">
        <v>72</v>
      </c>
      <c r="F126" s="356" t="s">
        <v>72</v>
      </c>
      <c r="G126" s="356" t="s">
        <v>72</v>
      </c>
      <c r="H126" s="356" t="s">
        <v>72</v>
      </c>
      <c r="I126" s="356" t="s">
        <v>72</v>
      </c>
      <c r="J126" s="356" t="s">
        <v>72</v>
      </c>
      <c r="K126" s="356" t="s">
        <v>72</v>
      </c>
      <c r="L126" s="356" t="s">
        <v>72</v>
      </c>
      <c r="M126" s="356" t="s">
        <v>72</v>
      </c>
      <c r="N126" s="356" t="s">
        <v>72</v>
      </c>
      <c r="O126" s="356" t="s">
        <v>72</v>
      </c>
      <c r="P126" s="356" t="s">
        <v>72</v>
      </c>
      <c r="Q126" s="400">
        <v>313</v>
      </c>
      <c r="R126" s="400">
        <v>311</v>
      </c>
      <c r="S126" s="483">
        <v>316</v>
      </c>
    </row>
    <row r="127" spans="1:19" s="435" customFormat="1">
      <c r="A127" s="468"/>
      <c r="B127" s="459" t="s">
        <v>132</v>
      </c>
      <c r="C127" s="470"/>
      <c r="D127" s="302" t="s">
        <v>72</v>
      </c>
      <c r="E127" s="302" t="s">
        <v>72</v>
      </c>
      <c r="F127" s="302" t="s">
        <v>72</v>
      </c>
      <c r="G127" s="302" t="s">
        <v>72</v>
      </c>
      <c r="H127" s="302" t="s">
        <v>72</v>
      </c>
      <c r="I127" s="302" t="s">
        <v>72</v>
      </c>
      <c r="J127" s="302" t="s">
        <v>72</v>
      </c>
      <c r="K127" s="302" t="s">
        <v>72</v>
      </c>
      <c r="L127" s="302" t="s">
        <v>72</v>
      </c>
      <c r="M127" s="302" t="s">
        <v>72</v>
      </c>
      <c r="N127" s="302" t="s">
        <v>72</v>
      </c>
      <c r="O127" s="302" t="s">
        <v>72</v>
      </c>
      <c r="P127" s="302" t="s">
        <v>72</v>
      </c>
      <c r="Q127" s="461">
        <v>21.09</v>
      </c>
      <c r="R127" s="461">
        <v>21.48</v>
      </c>
      <c r="S127" s="462">
        <v>21.66</v>
      </c>
    </row>
    <row r="128" spans="1:19" s="435" customFormat="1" ht="18" customHeight="1">
      <c r="A128" s="431">
        <v>38</v>
      </c>
      <c r="B128" s="432" t="s">
        <v>133</v>
      </c>
      <c r="C128" s="453"/>
      <c r="D128" s="345" t="s">
        <v>72</v>
      </c>
      <c r="E128" s="345" t="s">
        <v>72</v>
      </c>
      <c r="F128" s="345" t="s">
        <v>72</v>
      </c>
      <c r="G128" s="345" t="s">
        <v>72</v>
      </c>
      <c r="H128" s="345" t="s">
        <v>72</v>
      </c>
      <c r="I128" s="345" t="s">
        <v>72</v>
      </c>
      <c r="J128" s="345" t="s">
        <v>72</v>
      </c>
      <c r="K128" s="345" t="s">
        <v>72</v>
      </c>
      <c r="L128" s="345" t="s">
        <v>72</v>
      </c>
      <c r="M128" s="345" t="s">
        <v>72</v>
      </c>
      <c r="N128" s="345" t="s">
        <v>72</v>
      </c>
      <c r="O128" s="345" t="s">
        <v>72</v>
      </c>
      <c r="P128" s="345" t="s">
        <v>72</v>
      </c>
      <c r="Q128" s="454">
        <v>443566869</v>
      </c>
      <c r="R128" s="454">
        <v>408382114</v>
      </c>
      <c r="S128" s="455">
        <v>391197928</v>
      </c>
    </row>
    <row r="129" spans="1:19" s="438" customFormat="1" ht="18" customHeight="1">
      <c r="A129" s="385"/>
      <c r="B129" s="386" t="s">
        <v>134</v>
      </c>
      <c r="C129" s="436"/>
      <c r="D129" s="358" t="s">
        <v>72</v>
      </c>
      <c r="E129" s="358" t="s">
        <v>72</v>
      </c>
      <c r="F129" s="358" t="s">
        <v>72</v>
      </c>
      <c r="G129" s="358" t="s">
        <v>72</v>
      </c>
      <c r="H129" s="358" t="s">
        <v>72</v>
      </c>
      <c r="I129" s="358" t="s">
        <v>72</v>
      </c>
      <c r="J129" s="358" t="s">
        <v>72</v>
      </c>
      <c r="K129" s="358" t="s">
        <v>72</v>
      </c>
      <c r="L129" s="358" t="s">
        <v>72</v>
      </c>
      <c r="M129" s="358" t="s">
        <v>72</v>
      </c>
      <c r="N129" s="358" t="s">
        <v>72</v>
      </c>
      <c r="O129" s="358" t="s">
        <v>72</v>
      </c>
      <c r="P129" s="358" t="s">
        <v>72</v>
      </c>
      <c r="Q129" s="388">
        <f>Q128/C5</f>
        <v>14785562.300000001</v>
      </c>
      <c r="R129" s="388">
        <v>13173616.580645161</v>
      </c>
      <c r="S129" s="456">
        <v>13039930.933333334</v>
      </c>
    </row>
    <row r="130" spans="1:19" s="435" customFormat="1" ht="18" customHeight="1">
      <c r="A130" s="509"/>
      <c r="B130" s="386" t="s">
        <v>135</v>
      </c>
      <c r="C130" s="510"/>
      <c r="D130" s="350" t="s">
        <v>72</v>
      </c>
      <c r="E130" s="350" t="s">
        <v>72</v>
      </c>
      <c r="F130" s="350" t="s">
        <v>72</v>
      </c>
      <c r="G130" s="350" t="s">
        <v>72</v>
      </c>
      <c r="H130" s="350" t="s">
        <v>72</v>
      </c>
      <c r="I130" s="350" t="s">
        <v>72</v>
      </c>
      <c r="J130" s="350" t="s">
        <v>72</v>
      </c>
      <c r="K130" s="350" t="s">
        <v>72</v>
      </c>
      <c r="L130" s="350" t="s">
        <v>72</v>
      </c>
      <c r="M130" s="350" t="s">
        <v>72</v>
      </c>
      <c r="N130" s="350" t="s">
        <v>72</v>
      </c>
      <c r="O130" s="350" t="s">
        <v>72</v>
      </c>
      <c r="P130" s="350" t="s">
        <v>72</v>
      </c>
      <c r="Q130" s="511">
        <f>SUM(Q129/Q132)</f>
        <v>13.12740090898356</v>
      </c>
      <c r="R130" s="511">
        <v>13.198966259779832</v>
      </c>
      <c r="S130" s="512">
        <v>13.484891911745189</v>
      </c>
    </row>
    <row r="131" spans="1:19" s="438" customFormat="1" ht="18" customHeight="1">
      <c r="A131" s="496"/>
      <c r="B131" s="497" t="s">
        <v>136</v>
      </c>
      <c r="C131" s="460"/>
      <c r="D131" s="365">
        <v>47.807071122921442</v>
      </c>
      <c r="E131" s="365">
        <v>46.301122315888897</v>
      </c>
      <c r="F131" s="365">
        <v>51.887020457150896</v>
      </c>
      <c r="G131" s="365">
        <v>56.406631958206489</v>
      </c>
      <c r="H131" s="365">
        <v>48.486004136439064</v>
      </c>
      <c r="I131" s="365">
        <v>52.752847388147238</v>
      </c>
      <c r="J131" s="365">
        <v>52.140357809160157</v>
      </c>
      <c r="K131" s="365">
        <v>43.42</v>
      </c>
      <c r="L131" s="365">
        <v>47.3</v>
      </c>
      <c r="M131" s="365">
        <v>42.063864807911209</v>
      </c>
      <c r="N131" s="365">
        <v>55.036096638039865</v>
      </c>
      <c r="O131" s="365">
        <v>47.97023657406654</v>
      </c>
      <c r="P131" s="365">
        <v>45.209956169926194</v>
      </c>
      <c r="Q131" s="492">
        <f>Q128/Q36</f>
        <v>48.846753777344141</v>
      </c>
      <c r="R131" s="492">
        <v>45.79824875706251</v>
      </c>
      <c r="S131" s="493">
        <v>46.84923209725914</v>
      </c>
    </row>
    <row r="132" spans="1:19" s="438" customFormat="1" ht="63.75">
      <c r="A132" s="499">
        <v>39</v>
      </c>
      <c r="B132" s="500" t="s">
        <v>137</v>
      </c>
      <c r="C132" s="567"/>
      <c r="D132" s="372" t="s">
        <v>72</v>
      </c>
      <c r="E132" s="372"/>
      <c r="F132" s="372" t="s">
        <v>72</v>
      </c>
      <c r="G132" s="372" t="s">
        <v>72</v>
      </c>
      <c r="H132" s="372" t="s">
        <v>72</v>
      </c>
      <c r="I132" s="372" t="s">
        <v>72</v>
      </c>
      <c r="J132" s="372" t="s">
        <v>72</v>
      </c>
      <c r="K132" s="372" t="s">
        <v>72</v>
      </c>
      <c r="L132" s="372" t="s">
        <v>72</v>
      </c>
      <c r="M132" s="372" t="s">
        <v>72</v>
      </c>
      <c r="N132" s="372" t="s">
        <v>121</v>
      </c>
      <c r="O132" s="372" t="s">
        <v>72</v>
      </c>
      <c r="P132" s="372" t="s">
        <v>72</v>
      </c>
      <c r="Q132" s="463">
        <v>1126313</v>
      </c>
      <c r="R132" s="463">
        <v>998079.41935483867</v>
      </c>
      <c r="S132" s="464">
        <v>967003</v>
      </c>
    </row>
    <row r="133" spans="1:19" s="438" customFormat="1" ht="38.25">
      <c r="A133" s="385"/>
      <c r="B133" s="386" t="s">
        <v>138</v>
      </c>
      <c r="C133" s="510"/>
      <c r="D133" s="358" t="s">
        <v>72</v>
      </c>
      <c r="E133" s="358" t="s">
        <v>72</v>
      </c>
      <c r="F133" s="358" t="s">
        <v>72</v>
      </c>
      <c r="G133" s="358" t="s">
        <v>72</v>
      </c>
      <c r="H133" s="358" t="s">
        <v>72</v>
      </c>
      <c r="I133" s="358" t="s">
        <v>72</v>
      </c>
      <c r="J133" s="358" t="s">
        <v>72</v>
      </c>
      <c r="K133" s="358" t="s">
        <v>72</v>
      </c>
      <c r="L133" s="358" t="s">
        <v>72</v>
      </c>
      <c r="M133" s="358" t="s">
        <v>72</v>
      </c>
      <c r="N133" s="358" t="s">
        <v>72</v>
      </c>
      <c r="O133" s="358" t="s">
        <v>72</v>
      </c>
      <c r="P133" s="358" t="s">
        <v>72</v>
      </c>
      <c r="Q133" s="388">
        <f>SUM(Q132-Q67)</f>
        <v>283161.59999999998</v>
      </c>
      <c r="R133" s="388">
        <v>222974.38709677418</v>
      </c>
      <c r="S133" s="456">
        <v>236782.83333333337</v>
      </c>
    </row>
    <row r="134" spans="1:19" s="438" customFormat="1" ht="25.5">
      <c r="A134" s="385"/>
      <c r="B134" s="386" t="s">
        <v>139</v>
      </c>
      <c r="C134" s="510"/>
      <c r="D134" s="358" t="s">
        <v>72</v>
      </c>
      <c r="E134" s="358" t="s">
        <v>72</v>
      </c>
      <c r="F134" s="358" t="s">
        <v>72</v>
      </c>
      <c r="G134" s="358" t="s">
        <v>72</v>
      </c>
      <c r="H134" s="358" t="s">
        <v>72</v>
      </c>
      <c r="I134" s="358" t="s">
        <v>72</v>
      </c>
      <c r="J134" s="358" t="s">
        <v>72</v>
      </c>
      <c r="K134" s="358" t="s">
        <v>72</v>
      </c>
      <c r="L134" s="358" t="s">
        <v>72</v>
      </c>
      <c r="M134" s="358" t="s">
        <v>72</v>
      </c>
      <c r="N134" s="358" t="s">
        <v>72</v>
      </c>
      <c r="O134" s="358" t="s">
        <v>72</v>
      </c>
      <c r="P134" s="358" t="s">
        <v>72</v>
      </c>
      <c r="Q134" s="520">
        <f>SUM(Q133/Q132)*100</f>
        <v>25.140578151899156</v>
      </c>
      <c r="R134" s="520">
        <v>22.340345144167532</v>
      </c>
      <c r="S134" s="521">
        <v>24.486256333572221</v>
      </c>
    </row>
    <row r="135" spans="1:19" s="435" customFormat="1" ht="25.5">
      <c r="A135" s="509"/>
      <c r="B135" s="386" t="s">
        <v>140</v>
      </c>
      <c r="C135" s="510"/>
      <c r="D135" s="358" t="s">
        <v>72</v>
      </c>
      <c r="E135" s="358" t="s">
        <v>72</v>
      </c>
      <c r="F135" s="358" t="s">
        <v>72</v>
      </c>
      <c r="G135" s="358" t="s">
        <v>72</v>
      </c>
      <c r="H135" s="358" t="s">
        <v>72</v>
      </c>
      <c r="I135" s="358" t="s">
        <v>72</v>
      </c>
      <c r="J135" s="358" t="s">
        <v>72</v>
      </c>
      <c r="K135" s="358" t="s">
        <v>72</v>
      </c>
      <c r="L135" s="358" t="s">
        <v>72</v>
      </c>
      <c r="M135" s="358" t="s">
        <v>72</v>
      </c>
      <c r="N135" s="358" t="s">
        <v>72</v>
      </c>
      <c r="O135" s="358" t="s">
        <v>72</v>
      </c>
      <c r="P135" s="358" t="s">
        <v>72</v>
      </c>
      <c r="Q135" s="511">
        <f>Q132/Q17</f>
        <v>781.61901457321301</v>
      </c>
      <c r="R135" s="511">
        <v>701.88426114967558</v>
      </c>
      <c r="S135" s="512">
        <v>729.26319758672696</v>
      </c>
    </row>
    <row r="136" spans="1:19" s="435" customFormat="1" ht="26.25" thickBot="1">
      <c r="A136" s="557"/>
      <c r="B136" s="516" t="s">
        <v>141</v>
      </c>
      <c r="C136" s="569"/>
      <c r="D136" s="366" t="s">
        <v>72</v>
      </c>
      <c r="E136" s="366" t="s">
        <v>72</v>
      </c>
      <c r="F136" s="366" t="s">
        <v>72</v>
      </c>
      <c r="G136" s="366" t="s">
        <v>72</v>
      </c>
      <c r="H136" s="366" t="s">
        <v>72</v>
      </c>
      <c r="I136" s="366" t="s">
        <v>72</v>
      </c>
      <c r="J136" s="366" t="s">
        <v>72</v>
      </c>
      <c r="K136" s="366" t="s">
        <v>72</v>
      </c>
      <c r="L136" s="366" t="s">
        <v>72</v>
      </c>
      <c r="M136" s="366" t="s">
        <v>72</v>
      </c>
      <c r="N136" s="366" t="s">
        <v>72</v>
      </c>
      <c r="O136" s="366" t="s">
        <v>72</v>
      </c>
      <c r="P136" s="366" t="s">
        <v>72</v>
      </c>
      <c r="Q136" s="570">
        <f>Q129/Q17</f>
        <v>10260.626162387232</v>
      </c>
      <c r="R136" s="570">
        <v>9264.1466811850642</v>
      </c>
      <c r="S136" s="571">
        <v>9834.0400000000009</v>
      </c>
    </row>
    <row r="137" spans="1:19" ht="13.5" thickTop="1">
      <c r="A137" s="572"/>
      <c r="B137" s="573"/>
      <c r="C137" s="373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S137" s="376"/>
    </row>
    <row r="138" spans="1:19" ht="12.75">
      <c r="A138" s="572"/>
      <c r="B138" s="573"/>
      <c r="C138" s="373"/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S138" s="376"/>
    </row>
    <row r="139" spans="1:19" ht="12.75">
      <c r="A139" s="572"/>
      <c r="B139" s="573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S139" s="376"/>
    </row>
    <row r="140" spans="1:19">
      <c r="A140" s="374"/>
      <c r="B140" s="574"/>
      <c r="C140" s="374"/>
      <c r="D140" s="374"/>
      <c r="E140" s="374"/>
      <c r="F140" s="374"/>
      <c r="G140" s="374"/>
      <c r="H140" s="374"/>
      <c r="I140" s="374"/>
      <c r="J140" s="374"/>
      <c r="K140" s="374"/>
      <c r="L140" s="376"/>
      <c r="M140" s="376"/>
      <c r="N140" s="373"/>
      <c r="O140" s="373"/>
      <c r="P140" s="373"/>
      <c r="Q140" s="575"/>
      <c r="R140" s="576"/>
      <c r="S140" s="376"/>
    </row>
    <row r="141" spans="1:19">
      <c r="A141" s="374"/>
      <c r="B141" s="5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6"/>
      <c r="M141" s="376"/>
      <c r="N141" s="373"/>
      <c r="O141" s="373"/>
      <c r="P141" s="373"/>
      <c r="Q141" s="575"/>
      <c r="R141" s="576"/>
      <c r="S141" s="376"/>
    </row>
    <row r="142" spans="1:19">
      <c r="A142" s="374"/>
      <c r="B142" s="5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6"/>
      <c r="M142" s="376"/>
      <c r="N142" s="373"/>
      <c r="O142" s="373"/>
      <c r="P142" s="373"/>
      <c r="Q142" s="373"/>
      <c r="R142" s="576"/>
      <c r="S142" s="376"/>
    </row>
    <row r="143" spans="1:19" s="578" customFormat="1" ht="16.5">
      <c r="A143" s="670" t="s">
        <v>142</v>
      </c>
      <c r="B143" s="670"/>
      <c r="C143" s="577"/>
      <c r="D143" s="577"/>
      <c r="E143" s="577"/>
      <c r="F143" s="577"/>
      <c r="G143" s="577"/>
      <c r="I143" s="375"/>
      <c r="J143" s="375"/>
      <c r="K143" s="375"/>
      <c r="L143" s="375"/>
      <c r="M143" s="671" t="s">
        <v>143</v>
      </c>
      <c r="N143" s="671"/>
      <c r="O143" s="671"/>
      <c r="P143" s="671"/>
      <c r="Q143" s="671"/>
      <c r="R143" s="671"/>
      <c r="S143" s="579"/>
    </row>
    <row r="144" spans="1:19" s="578" customFormat="1" ht="16.5">
      <c r="A144" s="670" t="s">
        <v>209</v>
      </c>
      <c r="B144" s="670"/>
      <c r="C144" s="577"/>
      <c r="D144" s="577"/>
      <c r="E144" s="577"/>
      <c r="F144" s="577"/>
      <c r="G144" s="577"/>
      <c r="I144" s="375"/>
      <c r="J144" s="375"/>
      <c r="K144" s="375"/>
      <c r="L144" s="375"/>
      <c r="M144" s="671" t="s">
        <v>144</v>
      </c>
      <c r="N144" s="671"/>
      <c r="O144" s="671"/>
      <c r="P144" s="671"/>
      <c r="Q144" s="671"/>
      <c r="R144" s="671"/>
    </row>
    <row r="145" spans="2:19" s="376" customFormat="1">
      <c r="B145" s="573"/>
      <c r="R145" s="580"/>
      <c r="S145" s="579"/>
    </row>
    <row r="146" spans="2:19" s="376" customFormat="1">
      <c r="B146" s="573"/>
      <c r="S146" s="579"/>
    </row>
  </sheetData>
  <mergeCells count="8">
    <mergeCell ref="A144:B144"/>
    <mergeCell ref="M144:R144"/>
    <mergeCell ref="A1:S1"/>
    <mergeCell ref="A2:S2"/>
    <mergeCell ref="A3:S3"/>
    <mergeCell ref="A117:B117"/>
    <mergeCell ref="A143:B143"/>
    <mergeCell ref="M143:R14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58"/>
  <sheetViews>
    <sheetView topLeftCell="A118" zoomScale="85" zoomScaleNormal="85" zoomScaleSheetLayoutView="115" workbookViewId="0">
      <selection activeCell="AA141" sqref="AA141"/>
    </sheetView>
  </sheetViews>
  <sheetFormatPr defaultRowHeight="14.25"/>
  <cols>
    <col min="1" max="1" width="3.7109375" style="376" customWidth="1"/>
    <col min="2" max="2" width="27.28515625" style="573" customWidth="1"/>
    <col min="3" max="3" width="7.140625" style="376" customWidth="1"/>
    <col min="4" max="8" width="10.140625" style="376" customWidth="1"/>
    <col min="9" max="9" width="10.5703125" style="376" customWidth="1"/>
    <col min="10" max="15" width="10.140625" style="376" customWidth="1"/>
    <col min="16" max="16" width="11.140625" style="376" customWidth="1"/>
    <col min="17" max="17" width="11.5703125" style="376" customWidth="1"/>
    <col min="18" max="18" width="11.85546875" style="376" bestFit="1" customWidth="1"/>
    <col min="19" max="19" width="11.42578125" style="579" customWidth="1"/>
    <col min="20" max="249" width="9.140625" style="376"/>
    <col min="250" max="250" width="3.7109375" style="376" customWidth="1"/>
    <col min="251" max="251" width="30.42578125" style="376" customWidth="1"/>
    <col min="252" max="252" width="7.140625" style="376" customWidth="1"/>
    <col min="253" max="253" width="10.7109375" style="376" customWidth="1"/>
    <col min="254" max="254" width="10.42578125" style="376" customWidth="1"/>
    <col min="255" max="255" width="10.5703125" style="376" customWidth="1"/>
    <col min="256" max="256" width="10.42578125" style="376" customWidth="1"/>
    <col min="257" max="259" width="10.5703125" style="376" customWidth="1"/>
    <col min="260" max="262" width="10.42578125" style="376" customWidth="1"/>
    <col min="263" max="263" width="10.5703125" style="376" customWidth="1"/>
    <col min="264" max="264" width="10.28515625" style="376" customWidth="1"/>
    <col min="265" max="265" width="10.140625" style="376" customWidth="1"/>
    <col min="266" max="266" width="11.7109375" style="376" customWidth="1"/>
    <col min="267" max="267" width="12.42578125" style="376" customWidth="1"/>
    <col min="268" max="268" width="11.7109375" style="376" customWidth="1"/>
    <col min="269" max="269" width="13.140625" style="376" customWidth="1"/>
    <col min="270" max="505" width="9.140625" style="376"/>
    <col min="506" max="506" width="3.7109375" style="376" customWidth="1"/>
    <col min="507" max="507" width="30.42578125" style="376" customWidth="1"/>
    <col min="508" max="508" width="7.140625" style="376" customWidth="1"/>
    <col min="509" max="509" width="10.7109375" style="376" customWidth="1"/>
    <col min="510" max="510" width="10.42578125" style="376" customWidth="1"/>
    <col min="511" max="511" width="10.5703125" style="376" customWidth="1"/>
    <col min="512" max="512" width="10.42578125" style="376" customWidth="1"/>
    <col min="513" max="515" width="10.5703125" style="376" customWidth="1"/>
    <col min="516" max="518" width="10.42578125" style="376" customWidth="1"/>
    <col min="519" max="519" width="10.5703125" style="376" customWidth="1"/>
    <col min="520" max="520" width="10.28515625" style="376" customWidth="1"/>
    <col min="521" max="521" width="10.140625" style="376" customWidth="1"/>
    <col min="522" max="522" width="11.7109375" style="376" customWidth="1"/>
    <col min="523" max="523" width="12.42578125" style="376" customWidth="1"/>
    <col min="524" max="524" width="11.7109375" style="376" customWidth="1"/>
    <col min="525" max="525" width="13.140625" style="376" customWidth="1"/>
    <col min="526" max="761" width="9.140625" style="376"/>
    <col min="762" max="762" width="3.7109375" style="376" customWidth="1"/>
    <col min="763" max="763" width="30.42578125" style="376" customWidth="1"/>
    <col min="764" max="764" width="7.140625" style="376" customWidth="1"/>
    <col min="765" max="765" width="10.7109375" style="376" customWidth="1"/>
    <col min="766" max="766" width="10.42578125" style="376" customWidth="1"/>
    <col min="767" max="767" width="10.5703125" style="376" customWidth="1"/>
    <col min="768" max="768" width="10.42578125" style="376" customWidth="1"/>
    <col min="769" max="771" width="10.5703125" style="376" customWidth="1"/>
    <col min="772" max="774" width="10.42578125" style="376" customWidth="1"/>
    <col min="775" max="775" width="10.5703125" style="376" customWidth="1"/>
    <col min="776" max="776" width="10.28515625" style="376" customWidth="1"/>
    <col min="777" max="777" width="10.140625" style="376" customWidth="1"/>
    <col min="778" max="778" width="11.7109375" style="376" customWidth="1"/>
    <col min="779" max="779" width="12.42578125" style="376" customWidth="1"/>
    <col min="780" max="780" width="11.7109375" style="376" customWidth="1"/>
    <col min="781" max="781" width="13.140625" style="376" customWidth="1"/>
    <col min="782" max="1017" width="9.140625" style="376"/>
    <col min="1018" max="1018" width="3.7109375" style="376" customWidth="1"/>
    <col min="1019" max="1019" width="30.42578125" style="376" customWidth="1"/>
    <col min="1020" max="1020" width="7.140625" style="376" customWidth="1"/>
    <col min="1021" max="1021" width="10.7109375" style="376" customWidth="1"/>
    <col min="1022" max="1022" width="10.42578125" style="376" customWidth="1"/>
    <col min="1023" max="1023" width="10.5703125" style="376" customWidth="1"/>
    <col min="1024" max="1024" width="10.42578125" style="376" customWidth="1"/>
    <col min="1025" max="1027" width="10.5703125" style="376" customWidth="1"/>
    <col min="1028" max="1030" width="10.42578125" style="376" customWidth="1"/>
    <col min="1031" max="1031" width="10.5703125" style="376" customWidth="1"/>
    <col min="1032" max="1032" width="10.28515625" style="376" customWidth="1"/>
    <col min="1033" max="1033" width="10.140625" style="376" customWidth="1"/>
    <col min="1034" max="1034" width="11.7109375" style="376" customWidth="1"/>
    <col min="1035" max="1035" width="12.42578125" style="376" customWidth="1"/>
    <col min="1036" max="1036" width="11.7109375" style="376" customWidth="1"/>
    <col min="1037" max="1037" width="13.140625" style="376" customWidth="1"/>
    <col min="1038" max="1273" width="9.140625" style="376"/>
    <col min="1274" max="1274" width="3.7109375" style="376" customWidth="1"/>
    <col min="1275" max="1275" width="30.42578125" style="376" customWidth="1"/>
    <col min="1276" max="1276" width="7.140625" style="376" customWidth="1"/>
    <col min="1277" max="1277" width="10.7109375" style="376" customWidth="1"/>
    <col min="1278" max="1278" width="10.42578125" style="376" customWidth="1"/>
    <col min="1279" max="1279" width="10.5703125" style="376" customWidth="1"/>
    <col min="1280" max="1280" width="10.42578125" style="376" customWidth="1"/>
    <col min="1281" max="1283" width="10.5703125" style="376" customWidth="1"/>
    <col min="1284" max="1286" width="10.42578125" style="376" customWidth="1"/>
    <col min="1287" max="1287" width="10.5703125" style="376" customWidth="1"/>
    <col min="1288" max="1288" width="10.28515625" style="376" customWidth="1"/>
    <col min="1289" max="1289" width="10.140625" style="376" customWidth="1"/>
    <col min="1290" max="1290" width="11.7109375" style="376" customWidth="1"/>
    <col min="1291" max="1291" width="12.42578125" style="376" customWidth="1"/>
    <col min="1292" max="1292" width="11.7109375" style="376" customWidth="1"/>
    <col min="1293" max="1293" width="13.140625" style="376" customWidth="1"/>
    <col min="1294" max="1529" width="9.140625" style="376"/>
    <col min="1530" max="1530" width="3.7109375" style="376" customWidth="1"/>
    <col min="1531" max="1531" width="30.42578125" style="376" customWidth="1"/>
    <col min="1532" max="1532" width="7.140625" style="376" customWidth="1"/>
    <col min="1533" max="1533" width="10.7109375" style="376" customWidth="1"/>
    <col min="1534" max="1534" width="10.42578125" style="376" customWidth="1"/>
    <col min="1535" max="1535" width="10.5703125" style="376" customWidth="1"/>
    <col min="1536" max="1536" width="10.42578125" style="376" customWidth="1"/>
    <col min="1537" max="1539" width="10.5703125" style="376" customWidth="1"/>
    <col min="1540" max="1542" width="10.42578125" style="376" customWidth="1"/>
    <col min="1543" max="1543" width="10.5703125" style="376" customWidth="1"/>
    <col min="1544" max="1544" width="10.28515625" style="376" customWidth="1"/>
    <col min="1545" max="1545" width="10.140625" style="376" customWidth="1"/>
    <col min="1546" max="1546" width="11.7109375" style="376" customWidth="1"/>
    <col min="1547" max="1547" width="12.42578125" style="376" customWidth="1"/>
    <col min="1548" max="1548" width="11.7109375" style="376" customWidth="1"/>
    <col min="1549" max="1549" width="13.140625" style="376" customWidth="1"/>
    <col min="1550" max="1785" width="9.140625" style="376"/>
    <col min="1786" max="1786" width="3.7109375" style="376" customWidth="1"/>
    <col min="1787" max="1787" width="30.42578125" style="376" customWidth="1"/>
    <col min="1788" max="1788" width="7.140625" style="376" customWidth="1"/>
    <col min="1789" max="1789" width="10.7109375" style="376" customWidth="1"/>
    <col min="1790" max="1790" width="10.42578125" style="376" customWidth="1"/>
    <col min="1791" max="1791" width="10.5703125" style="376" customWidth="1"/>
    <col min="1792" max="1792" width="10.42578125" style="376" customWidth="1"/>
    <col min="1793" max="1795" width="10.5703125" style="376" customWidth="1"/>
    <col min="1796" max="1798" width="10.42578125" style="376" customWidth="1"/>
    <col min="1799" max="1799" width="10.5703125" style="376" customWidth="1"/>
    <col min="1800" max="1800" width="10.28515625" style="376" customWidth="1"/>
    <col min="1801" max="1801" width="10.140625" style="376" customWidth="1"/>
    <col min="1802" max="1802" width="11.7109375" style="376" customWidth="1"/>
    <col min="1803" max="1803" width="12.42578125" style="376" customWidth="1"/>
    <col min="1804" max="1804" width="11.7109375" style="376" customWidth="1"/>
    <col min="1805" max="1805" width="13.140625" style="376" customWidth="1"/>
    <col min="1806" max="2041" width="9.140625" style="376"/>
    <col min="2042" max="2042" width="3.7109375" style="376" customWidth="1"/>
    <col min="2043" max="2043" width="30.42578125" style="376" customWidth="1"/>
    <col min="2044" max="2044" width="7.140625" style="376" customWidth="1"/>
    <col min="2045" max="2045" width="10.7109375" style="376" customWidth="1"/>
    <col min="2046" max="2046" width="10.42578125" style="376" customWidth="1"/>
    <col min="2047" max="2047" width="10.5703125" style="376" customWidth="1"/>
    <col min="2048" max="2048" width="10.42578125" style="376" customWidth="1"/>
    <col min="2049" max="2051" width="10.5703125" style="376" customWidth="1"/>
    <col min="2052" max="2054" width="10.42578125" style="376" customWidth="1"/>
    <col min="2055" max="2055" width="10.5703125" style="376" customWidth="1"/>
    <col min="2056" max="2056" width="10.28515625" style="376" customWidth="1"/>
    <col min="2057" max="2057" width="10.140625" style="376" customWidth="1"/>
    <col min="2058" max="2058" width="11.7109375" style="376" customWidth="1"/>
    <col min="2059" max="2059" width="12.42578125" style="376" customWidth="1"/>
    <col min="2060" max="2060" width="11.7109375" style="376" customWidth="1"/>
    <col min="2061" max="2061" width="13.140625" style="376" customWidth="1"/>
    <col min="2062" max="2297" width="9.140625" style="376"/>
    <col min="2298" max="2298" width="3.7109375" style="376" customWidth="1"/>
    <col min="2299" max="2299" width="30.42578125" style="376" customWidth="1"/>
    <col min="2300" max="2300" width="7.140625" style="376" customWidth="1"/>
    <col min="2301" max="2301" width="10.7109375" style="376" customWidth="1"/>
    <col min="2302" max="2302" width="10.42578125" style="376" customWidth="1"/>
    <col min="2303" max="2303" width="10.5703125" style="376" customWidth="1"/>
    <col min="2304" max="2304" width="10.42578125" style="376" customWidth="1"/>
    <col min="2305" max="2307" width="10.5703125" style="376" customWidth="1"/>
    <col min="2308" max="2310" width="10.42578125" style="376" customWidth="1"/>
    <col min="2311" max="2311" width="10.5703125" style="376" customWidth="1"/>
    <col min="2312" max="2312" width="10.28515625" style="376" customWidth="1"/>
    <col min="2313" max="2313" width="10.140625" style="376" customWidth="1"/>
    <col min="2314" max="2314" width="11.7109375" style="376" customWidth="1"/>
    <col min="2315" max="2315" width="12.42578125" style="376" customWidth="1"/>
    <col min="2316" max="2316" width="11.7109375" style="376" customWidth="1"/>
    <col min="2317" max="2317" width="13.140625" style="376" customWidth="1"/>
    <col min="2318" max="2553" width="9.140625" style="376"/>
    <col min="2554" max="2554" width="3.7109375" style="376" customWidth="1"/>
    <col min="2555" max="2555" width="30.42578125" style="376" customWidth="1"/>
    <col min="2556" max="2556" width="7.140625" style="376" customWidth="1"/>
    <col min="2557" max="2557" width="10.7109375" style="376" customWidth="1"/>
    <col min="2558" max="2558" width="10.42578125" style="376" customWidth="1"/>
    <col min="2559" max="2559" width="10.5703125" style="376" customWidth="1"/>
    <col min="2560" max="2560" width="10.42578125" style="376" customWidth="1"/>
    <col min="2561" max="2563" width="10.5703125" style="376" customWidth="1"/>
    <col min="2564" max="2566" width="10.42578125" style="376" customWidth="1"/>
    <col min="2567" max="2567" width="10.5703125" style="376" customWidth="1"/>
    <col min="2568" max="2568" width="10.28515625" style="376" customWidth="1"/>
    <col min="2569" max="2569" width="10.140625" style="376" customWidth="1"/>
    <col min="2570" max="2570" width="11.7109375" style="376" customWidth="1"/>
    <col min="2571" max="2571" width="12.42578125" style="376" customWidth="1"/>
    <col min="2572" max="2572" width="11.7109375" style="376" customWidth="1"/>
    <col min="2573" max="2573" width="13.140625" style="376" customWidth="1"/>
    <col min="2574" max="2809" width="9.140625" style="376"/>
    <col min="2810" max="2810" width="3.7109375" style="376" customWidth="1"/>
    <col min="2811" max="2811" width="30.42578125" style="376" customWidth="1"/>
    <col min="2812" max="2812" width="7.140625" style="376" customWidth="1"/>
    <col min="2813" max="2813" width="10.7109375" style="376" customWidth="1"/>
    <col min="2814" max="2814" width="10.42578125" style="376" customWidth="1"/>
    <col min="2815" max="2815" width="10.5703125" style="376" customWidth="1"/>
    <col min="2816" max="2816" width="10.42578125" style="376" customWidth="1"/>
    <col min="2817" max="2819" width="10.5703125" style="376" customWidth="1"/>
    <col min="2820" max="2822" width="10.42578125" style="376" customWidth="1"/>
    <col min="2823" max="2823" width="10.5703125" style="376" customWidth="1"/>
    <col min="2824" max="2824" width="10.28515625" style="376" customWidth="1"/>
    <col min="2825" max="2825" width="10.140625" style="376" customWidth="1"/>
    <col min="2826" max="2826" width="11.7109375" style="376" customWidth="1"/>
    <col min="2827" max="2827" width="12.42578125" style="376" customWidth="1"/>
    <col min="2828" max="2828" width="11.7109375" style="376" customWidth="1"/>
    <col min="2829" max="2829" width="13.140625" style="376" customWidth="1"/>
    <col min="2830" max="3065" width="9.140625" style="376"/>
    <col min="3066" max="3066" width="3.7109375" style="376" customWidth="1"/>
    <col min="3067" max="3067" width="30.42578125" style="376" customWidth="1"/>
    <col min="3068" max="3068" width="7.140625" style="376" customWidth="1"/>
    <col min="3069" max="3069" width="10.7109375" style="376" customWidth="1"/>
    <col min="3070" max="3070" width="10.42578125" style="376" customWidth="1"/>
    <col min="3071" max="3071" width="10.5703125" style="376" customWidth="1"/>
    <col min="3072" max="3072" width="10.42578125" style="376" customWidth="1"/>
    <col min="3073" max="3075" width="10.5703125" style="376" customWidth="1"/>
    <col min="3076" max="3078" width="10.42578125" style="376" customWidth="1"/>
    <col min="3079" max="3079" width="10.5703125" style="376" customWidth="1"/>
    <col min="3080" max="3080" width="10.28515625" style="376" customWidth="1"/>
    <col min="3081" max="3081" width="10.140625" style="376" customWidth="1"/>
    <col min="3082" max="3082" width="11.7109375" style="376" customWidth="1"/>
    <col min="3083" max="3083" width="12.42578125" style="376" customWidth="1"/>
    <col min="3084" max="3084" width="11.7109375" style="376" customWidth="1"/>
    <col min="3085" max="3085" width="13.140625" style="376" customWidth="1"/>
    <col min="3086" max="3321" width="9.140625" style="376"/>
    <col min="3322" max="3322" width="3.7109375" style="376" customWidth="1"/>
    <col min="3323" max="3323" width="30.42578125" style="376" customWidth="1"/>
    <col min="3324" max="3324" width="7.140625" style="376" customWidth="1"/>
    <col min="3325" max="3325" width="10.7109375" style="376" customWidth="1"/>
    <col min="3326" max="3326" width="10.42578125" style="376" customWidth="1"/>
    <col min="3327" max="3327" width="10.5703125" style="376" customWidth="1"/>
    <col min="3328" max="3328" width="10.42578125" style="376" customWidth="1"/>
    <col min="3329" max="3331" width="10.5703125" style="376" customWidth="1"/>
    <col min="3332" max="3334" width="10.42578125" style="376" customWidth="1"/>
    <col min="3335" max="3335" width="10.5703125" style="376" customWidth="1"/>
    <col min="3336" max="3336" width="10.28515625" style="376" customWidth="1"/>
    <col min="3337" max="3337" width="10.140625" style="376" customWidth="1"/>
    <col min="3338" max="3338" width="11.7109375" style="376" customWidth="1"/>
    <col min="3339" max="3339" width="12.42578125" style="376" customWidth="1"/>
    <col min="3340" max="3340" width="11.7109375" style="376" customWidth="1"/>
    <col min="3341" max="3341" width="13.140625" style="376" customWidth="1"/>
    <col min="3342" max="3577" width="9.140625" style="376"/>
    <col min="3578" max="3578" width="3.7109375" style="376" customWidth="1"/>
    <col min="3579" max="3579" width="30.42578125" style="376" customWidth="1"/>
    <col min="3580" max="3580" width="7.140625" style="376" customWidth="1"/>
    <col min="3581" max="3581" width="10.7109375" style="376" customWidth="1"/>
    <col min="3582" max="3582" width="10.42578125" style="376" customWidth="1"/>
    <col min="3583" max="3583" width="10.5703125" style="376" customWidth="1"/>
    <col min="3584" max="3584" width="10.42578125" style="376" customWidth="1"/>
    <col min="3585" max="3587" width="10.5703125" style="376" customWidth="1"/>
    <col min="3588" max="3590" width="10.42578125" style="376" customWidth="1"/>
    <col min="3591" max="3591" width="10.5703125" style="376" customWidth="1"/>
    <col min="3592" max="3592" width="10.28515625" style="376" customWidth="1"/>
    <col min="3593" max="3593" width="10.140625" style="376" customWidth="1"/>
    <col min="3594" max="3594" width="11.7109375" style="376" customWidth="1"/>
    <col min="3595" max="3595" width="12.42578125" style="376" customWidth="1"/>
    <col min="3596" max="3596" width="11.7109375" style="376" customWidth="1"/>
    <col min="3597" max="3597" width="13.140625" style="376" customWidth="1"/>
    <col min="3598" max="3833" width="9.140625" style="376"/>
    <col min="3834" max="3834" width="3.7109375" style="376" customWidth="1"/>
    <col min="3835" max="3835" width="30.42578125" style="376" customWidth="1"/>
    <col min="3836" max="3836" width="7.140625" style="376" customWidth="1"/>
    <col min="3837" max="3837" width="10.7109375" style="376" customWidth="1"/>
    <col min="3838" max="3838" width="10.42578125" style="376" customWidth="1"/>
    <col min="3839" max="3839" width="10.5703125" style="376" customWidth="1"/>
    <col min="3840" max="3840" width="10.42578125" style="376" customWidth="1"/>
    <col min="3841" max="3843" width="10.5703125" style="376" customWidth="1"/>
    <col min="3844" max="3846" width="10.42578125" style="376" customWidth="1"/>
    <col min="3847" max="3847" width="10.5703125" style="376" customWidth="1"/>
    <col min="3848" max="3848" width="10.28515625" style="376" customWidth="1"/>
    <col min="3849" max="3849" width="10.140625" style="376" customWidth="1"/>
    <col min="3850" max="3850" width="11.7109375" style="376" customWidth="1"/>
    <col min="3851" max="3851" width="12.42578125" style="376" customWidth="1"/>
    <col min="3852" max="3852" width="11.7109375" style="376" customWidth="1"/>
    <col min="3853" max="3853" width="13.140625" style="376" customWidth="1"/>
    <col min="3854" max="4089" width="9.140625" style="376"/>
    <col min="4090" max="4090" width="3.7109375" style="376" customWidth="1"/>
    <col min="4091" max="4091" width="30.42578125" style="376" customWidth="1"/>
    <col min="4092" max="4092" width="7.140625" style="376" customWidth="1"/>
    <col min="4093" max="4093" width="10.7109375" style="376" customWidth="1"/>
    <col min="4094" max="4094" width="10.42578125" style="376" customWidth="1"/>
    <col min="4095" max="4095" width="10.5703125" style="376" customWidth="1"/>
    <col min="4096" max="4096" width="10.42578125" style="376" customWidth="1"/>
    <col min="4097" max="4099" width="10.5703125" style="376" customWidth="1"/>
    <col min="4100" max="4102" width="10.42578125" style="376" customWidth="1"/>
    <col min="4103" max="4103" width="10.5703125" style="376" customWidth="1"/>
    <col min="4104" max="4104" width="10.28515625" style="376" customWidth="1"/>
    <col min="4105" max="4105" width="10.140625" style="376" customWidth="1"/>
    <col min="4106" max="4106" width="11.7109375" style="376" customWidth="1"/>
    <col min="4107" max="4107" width="12.42578125" style="376" customWidth="1"/>
    <col min="4108" max="4108" width="11.7109375" style="376" customWidth="1"/>
    <col min="4109" max="4109" width="13.140625" style="376" customWidth="1"/>
    <col min="4110" max="4345" width="9.140625" style="376"/>
    <col min="4346" max="4346" width="3.7109375" style="376" customWidth="1"/>
    <col min="4347" max="4347" width="30.42578125" style="376" customWidth="1"/>
    <col min="4348" max="4348" width="7.140625" style="376" customWidth="1"/>
    <col min="4349" max="4349" width="10.7109375" style="376" customWidth="1"/>
    <col min="4350" max="4350" width="10.42578125" style="376" customWidth="1"/>
    <col min="4351" max="4351" width="10.5703125" style="376" customWidth="1"/>
    <col min="4352" max="4352" width="10.42578125" style="376" customWidth="1"/>
    <col min="4353" max="4355" width="10.5703125" style="376" customWidth="1"/>
    <col min="4356" max="4358" width="10.42578125" style="376" customWidth="1"/>
    <col min="4359" max="4359" width="10.5703125" style="376" customWidth="1"/>
    <col min="4360" max="4360" width="10.28515625" style="376" customWidth="1"/>
    <col min="4361" max="4361" width="10.140625" style="376" customWidth="1"/>
    <col min="4362" max="4362" width="11.7109375" style="376" customWidth="1"/>
    <col min="4363" max="4363" width="12.42578125" style="376" customWidth="1"/>
    <col min="4364" max="4364" width="11.7109375" style="376" customWidth="1"/>
    <col min="4365" max="4365" width="13.140625" style="376" customWidth="1"/>
    <col min="4366" max="4601" width="9.140625" style="376"/>
    <col min="4602" max="4602" width="3.7109375" style="376" customWidth="1"/>
    <col min="4603" max="4603" width="30.42578125" style="376" customWidth="1"/>
    <col min="4604" max="4604" width="7.140625" style="376" customWidth="1"/>
    <col min="4605" max="4605" width="10.7109375" style="376" customWidth="1"/>
    <col min="4606" max="4606" width="10.42578125" style="376" customWidth="1"/>
    <col min="4607" max="4607" width="10.5703125" style="376" customWidth="1"/>
    <col min="4608" max="4608" width="10.42578125" style="376" customWidth="1"/>
    <col min="4609" max="4611" width="10.5703125" style="376" customWidth="1"/>
    <col min="4612" max="4614" width="10.42578125" style="376" customWidth="1"/>
    <col min="4615" max="4615" width="10.5703125" style="376" customWidth="1"/>
    <col min="4616" max="4616" width="10.28515625" style="376" customWidth="1"/>
    <col min="4617" max="4617" width="10.140625" style="376" customWidth="1"/>
    <col min="4618" max="4618" width="11.7109375" style="376" customWidth="1"/>
    <col min="4619" max="4619" width="12.42578125" style="376" customWidth="1"/>
    <col min="4620" max="4620" width="11.7109375" style="376" customWidth="1"/>
    <col min="4621" max="4621" width="13.140625" style="376" customWidth="1"/>
    <col min="4622" max="4857" width="9.140625" style="376"/>
    <col min="4858" max="4858" width="3.7109375" style="376" customWidth="1"/>
    <col min="4859" max="4859" width="30.42578125" style="376" customWidth="1"/>
    <col min="4860" max="4860" width="7.140625" style="376" customWidth="1"/>
    <col min="4861" max="4861" width="10.7109375" style="376" customWidth="1"/>
    <col min="4862" max="4862" width="10.42578125" style="376" customWidth="1"/>
    <col min="4863" max="4863" width="10.5703125" style="376" customWidth="1"/>
    <col min="4864" max="4864" width="10.42578125" style="376" customWidth="1"/>
    <col min="4865" max="4867" width="10.5703125" style="376" customWidth="1"/>
    <col min="4868" max="4870" width="10.42578125" style="376" customWidth="1"/>
    <col min="4871" max="4871" width="10.5703125" style="376" customWidth="1"/>
    <col min="4872" max="4872" width="10.28515625" style="376" customWidth="1"/>
    <col min="4873" max="4873" width="10.140625" style="376" customWidth="1"/>
    <col min="4874" max="4874" width="11.7109375" style="376" customWidth="1"/>
    <col min="4875" max="4875" width="12.42578125" style="376" customWidth="1"/>
    <col min="4876" max="4876" width="11.7109375" style="376" customWidth="1"/>
    <col min="4877" max="4877" width="13.140625" style="376" customWidth="1"/>
    <col min="4878" max="5113" width="9.140625" style="376"/>
    <col min="5114" max="5114" width="3.7109375" style="376" customWidth="1"/>
    <col min="5115" max="5115" width="30.42578125" style="376" customWidth="1"/>
    <col min="5116" max="5116" width="7.140625" style="376" customWidth="1"/>
    <col min="5117" max="5117" width="10.7109375" style="376" customWidth="1"/>
    <col min="5118" max="5118" width="10.42578125" style="376" customWidth="1"/>
    <col min="5119" max="5119" width="10.5703125" style="376" customWidth="1"/>
    <col min="5120" max="5120" width="10.42578125" style="376" customWidth="1"/>
    <col min="5121" max="5123" width="10.5703125" style="376" customWidth="1"/>
    <col min="5124" max="5126" width="10.42578125" style="376" customWidth="1"/>
    <col min="5127" max="5127" width="10.5703125" style="376" customWidth="1"/>
    <col min="5128" max="5128" width="10.28515625" style="376" customWidth="1"/>
    <col min="5129" max="5129" width="10.140625" style="376" customWidth="1"/>
    <col min="5130" max="5130" width="11.7109375" style="376" customWidth="1"/>
    <col min="5131" max="5131" width="12.42578125" style="376" customWidth="1"/>
    <col min="5132" max="5132" width="11.7109375" style="376" customWidth="1"/>
    <col min="5133" max="5133" width="13.140625" style="376" customWidth="1"/>
    <col min="5134" max="5369" width="9.140625" style="376"/>
    <col min="5370" max="5370" width="3.7109375" style="376" customWidth="1"/>
    <col min="5371" max="5371" width="30.42578125" style="376" customWidth="1"/>
    <col min="5372" max="5372" width="7.140625" style="376" customWidth="1"/>
    <col min="5373" max="5373" width="10.7109375" style="376" customWidth="1"/>
    <col min="5374" max="5374" width="10.42578125" style="376" customWidth="1"/>
    <col min="5375" max="5375" width="10.5703125" style="376" customWidth="1"/>
    <col min="5376" max="5376" width="10.42578125" style="376" customWidth="1"/>
    <col min="5377" max="5379" width="10.5703125" style="376" customWidth="1"/>
    <col min="5380" max="5382" width="10.42578125" style="376" customWidth="1"/>
    <col min="5383" max="5383" width="10.5703125" style="376" customWidth="1"/>
    <col min="5384" max="5384" width="10.28515625" style="376" customWidth="1"/>
    <col min="5385" max="5385" width="10.140625" style="376" customWidth="1"/>
    <col min="5386" max="5386" width="11.7109375" style="376" customWidth="1"/>
    <col min="5387" max="5387" width="12.42578125" style="376" customWidth="1"/>
    <col min="5388" max="5388" width="11.7109375" style="376" customWidth="1"/>
    <col min="5389" max="5389" width="13.140625" style="376" customWidth="1"/>
    <col min="5390" max="5625" width="9.140625" style="376"/>
    <col min="5626" max="5626" width="3.7109375" style="376" customWidth="1"/>
    <col min="5627" max="5627" width="30.42578125" style="376" customWidth="1"/>
    <col min="5628" max="5628" width="7.140625" style="376" customWidth="1"/>
    <col min="5629" max="5629" width="10.7109375" style="376" customWidth="1"/>
    <col min="5630" max="5630" width="10.42578125" style="376" customWidth="1"/>
    <col min="5631" max="5631" width="10.5703125" style="376" customWidth="1"/>
    <col min="5632" max="5632" width="10.42578125" style="376" customWidth="1"/>
    <col min="5633" max="5635" width="10.5703125" style="376" customWidth="1"/>
    <col min="5636" max="5638" width="10.42578125" style="376" customWidth="1"/>
    <col min="5639" max="5639" width="10.5703125" style="376" customWidth="1"/>
    <col min="5640" max="5640" width="10.28515625" style="376" customWidth="1"/>
    <col min="5641" max="5641" width="10.140625" style="376" customWidth="1"/>
    <col min="5642" max="5642" width="11.7109375" style="376" customWidth="1"/>
    <col min="5643" max="5643" width="12.42578125" style="376" customWidth="1"/>
    <col min="5644" max="5644" width="11.7109375" style="376" customWidth="1"/>
    <col min="5645" max="5645" width="13.140625" style="376" customWidth="1"/>
    <col min="5646" max="5881" width="9.140625" style="376"/>
    <col min="5882" max="5882" width="3.7109375" style="376" customWidth="1"/>
    <col min="5883" max="5883" width="30.42578125" style="376" customWidth="1"/>
    <col min="5884" max="5884" width="7.140625" style="376" customWidth="1"/>
    <col min="5885" max="5885" width="10.7109375" style="376" customWidth="1"/>
    <col min="5886" max="5886" width="10.42578125" style="376" customWidth="1"/>
    <col min="5887" max="5887" width="10.5703125" style="376" customWidth="1"/>
    <col min="5888" max="5888" width="10.42578125" style="376" customWidth="1"/>
    <col min="5889" max="5891" width="10.5703125" style="376" customWidth="1"/>
    <col min="5892" max="5894" width="10.42578125" style="376" customWidth="1"/>
    <col min="5895" max="5895" width="10.5703125" style="376" customWidth="1"/>
    <col min="5896" max="5896" width="10.28515625" style="376" customWidth="1"/>
    <col min="5897" max="5897" width="10.140625" style="376" customWidth="1"/>
    <col min="5898" max="5898" width="11.7109375" style="376" customWidth="1"/>
    <col min="5899" max="5899" width="12.42578125" style="376" customWidth="1"/>
    <col min="5900" max="5900" width="11.7109375" style="376" customWidth="1"/>
    <col min="5901" max="5901" width="13.140625" style="376" customWidth="1"/>
    <col min="5902" max="6137" width="9.140625" style="376"/>
    <col min="6138" max="6138" width="3.7109375" style="376" customWidth="1"/>
    <col min="6139" max="6139" width="30.42578125" style="376" customWidth="1"/>
    <col min="6140" max="6140" width="7.140625" style="376" customWidth="1"/>
    <col min="6141" max="6141" width="10.7109375" style="376" customWidth="1"/>
    <col min="6142" max="6142" width="10.42578125" style="376" customWidth="1"/>
    <col min="6143" max="6143" width="10.5703125" style="376" customWidth="1"/>
    <col min="6144" max="6144" width="10.42578125" style="376" customWidth="1"/>
    <col min="6145" max="6147" width="10.5703125" style="376" customWidth="1"/>
    <col min="6148" max="6150" width="10.42578125" style="376" customWidth="1"/>
    <col min="6151" max="6151" width="10.5703125" style="376" customWidth="1"/>
    <col min="6152" max="6152" width="10.28515625" style="376" customWidth="1"/>
    <col min="6153" max="6153" width="10.140625" style="376" customWidth="1"/>
    <col min="6154" max="6154" width="11.7109375" style="376" customWidth="1"/>
    <col min="6155" max="6155" width="12.42578125" style="376" customWidth="1"/>
    <col min="6156" max="6156" width="11.7109375" style="376" customWidth="1"/>
    <col min="6157" max="6157" width="13.140625" style="376" customWidth="1"/>
    <col min="6158" max="6393" width="9.140625" style="376"/>
    <col min="6394" max="6394" width="3.7109375" style="376" customWidth="1"/>
    <col min="6395" max="6395" width="30.42578125" style="376" customWidth="1"/>
    <col min="6396" max="6396" width="7.140625" style="376" customWidth="1"/>
    <col min="6397" max="6397" width="10.7109375" style="376" customWidth="1"/>
    <col min="6398" max="6398" width="10.42578125" style="376" customWidth="1"/>
    <col min="6399" max="6399" width="10.5703125" style="376" customWidth="1"/>
    <col min="6400" max="6400" width="10.42578125" style="376" customWidth="1"/>
    <col min="6401" max="6403" width="10.5703125" style="376" customWidth="1"/>
    <col min="6404" max="6406" width="10.42578125" style="376" customWidth="1"/>
    <col min="6407" max="6407" width="10.5703125" style="376" customWidth="1"/>
    <col min="6408" max="6408" width="10.28515625" style="376" customWidth="1"/>
    <col min="6409" max="6409" width="10.140625" style="376" customWidth="1"/>
    <col min="6410" max="6410" width="11.7109375" style="376" customWidth="1"/>
    <col min="6411" max="6411" width="12.42578125" style="376" customWidth="1"/>
    <col min="6412" max="6412" width="11.7109375" style="376" customWidth="1"/>
    <col min="6413" max="6413" width="13.140625" style="376" customWidth="1"/>
    <col min="6414" max="6649" width="9.140625" style="376"/>
    <col min="6650" max="6650" width="3.7109375" style="376" customWidth="1"/>
    <col min="6651" max="6651" width="30.42578125" style="376" customWidth="1"/>
    <col min="6652" max="6652" width="7.140625" style="376" customWidth="1"/>
    <col min="6653" max="6653" width="10.7109375" style="376" customWidth="1"/>
    <col min="6654" max="6654" width="10.42578125" style="376" customWidth="1"/>
    <col min="6655" max="6655" width="10.5703125" style="376" customWidth="1"/>
    <col min="6656" max="6656" width="10.42578125" style="376" customWidth="1"/>
    <col min="6657" max="6659" width="10.5703125" style="376" customWidth="1"/>
    <col min="6660" max="6662" width="10.42578125" style="376" customWidth="1"/>
    <col min="6663" max="6663" width="10.5703125" style="376" customWidth="1"/>
    <col min="6664" max="6664" width="10.28515625" style="376" customWidth="1"/>
    <col min="6665" max="6665" width="10.140625" style="376" customWidth="1"/>
    <col min="6666" max="6666" width="11.7109375" style="376" customWidth="1"/>
    <col min="6667" max="6667" width="12.42578125" style="376" customWidth="1"/>
    <col min="6668" max="6668" width="11.7109375" style="376" customWidth="1"/>
    <col min="6669" max="6669" width="13.140625" style="376" customWidth="1"/>
    <col min="6670" max="6905" width="9.140625" style="376"/>
    <col min="6906" max="6906" width="3.7109375" style="376" customWidth="1"/>
    <col min="6907" max="6907" width="30.42578125" style="376" customWidth="1"/>
    <col min="6908" max="6908" width="7.140625" style="376" customWidth="1"/>
    <col min="6909" max="6909" width="10.7109375" style="376" customWidth="1"/>
    <col min="6910" max="6910" width="10.42578125" style="376" customWidth="1"/>
    <col min="6911" max="6911" width="10.5703125" style="376" customWidth="1"/>
    <col min="6912" max="6912" width="10.42578125" style="376" customWidth="1"/>
    <col min="6913" max="6915" width="10.5703125" style="376" customWidth="1"/>
    <col min="6916" max="6918" width="10.42578125" style="376" customWidth="1"/>
    <col min="6919" max="6919" width="10.5703125" style="376" customWidth="1"/>
    <col min="6920" max="6920" width="10.28515625" style="376" customWidth="1"/>
    <col min="6921" max="6921" width="10.140625" style="376" customWidth="1"/>
    <col min="6922" max="6922" width="11.7109375" style="376" customWidth="1"/>
    <col min="6923" max="6923" width="12.42578125" style="376" customWidth="1"/>
    <col min="6924" max="6924" width="11.7109375" style="376" customWidth="1"/>
    <col min="6925" max="6925" width="13.140625" style="376" customWidth="1"/>
    <col min="6926" max="7161" width="9.140625" style="376"/>
    <col min="7162" max="7162" width="3.7109375" style="376" customWidth="1"/>
    <col min="7163" max="7163" width="30.42578125" style="376" customWidth="1"/>
    <col min="7164" max="7164" width="7.140625" style="376" customWidth="1"/>
    <col min="7165" max="7165" width="10.7109375" style="376" customWidth="1"/>
    <col min="7166" max="7166" width="10.42578125" style="376" customWidth="1"/>
    <col min="7167" max="7167" width="10.5703125" style="376" customWidth="1"/>
    <col min="7168" max="7168" width="10.42578125" style="376" customWidth="1"/>
    <col min="7169" max="7171" width="10.5703125" style="376" customWidth="1"/>
    <col min="7172" max="7174" width="10.42578125" style="376" customWidth="1"/>
    <col min="7175" max="7175" width="10.5703125" style="376" customWidth="1"/>
    <col min="7176" max="7176" width="10.28515625" style="376" customWidth="1"/>
    <col min="7177" max="7177" width="10.140625" style="376" customWidth="1"/>
    <col min="7178" max="7178" width="11.7109375" style="376" customWidth="1"/>
    <col min="7179" max="7179" width="12.42578125" style="376" customWidth="1"/>
    <col min="7180" max="7180" width="11.7109375" style="376" customWidth="1"/>
    <col min="7181" max="7181" width="13.140625" style="376" customWidth="1"/>
    <col min="7182" max="7417" width="9.140625" style="376"/>
    <col min="7418" max="7418" width="3.7109375" style="376" customWidth="1"/>
    <col min="7419" max="7419" width="30.42578125" style="376" customWidth="1"/>
    <col min="7420" max="7420" width="7.140625" style="376" customWidth="1"/>
    <col min="7421" max="7421" width="10.7109375" style="376" customWidth="1"/>
    <col min="7422" max="7422" width="10.42578125" style="376" customWidth="1"/>
    <col min="7423" max="7423" width="10.5703125" style="376" customWidth="1"/>
    <col min="7424" max="7424" width="10.42578125" style="376" customWidth="1"/>
    <col min="7425" max="7427" width="10.5703125" style="376" customWidth="1"/>
    <col min="7428" max="7430" width="10.42578125" style="376" customWidth="1"/>
    <col min="7431" max="7431" width="10.5703125" style="376" customWidth="1"/>
    <col min="7432" max="7432" width="10.28515625" style="376" customWidth="1"/>
    <col min="7433" max="7433" width="10.140625" style="376" customWidth="1"/>
    <col min="7434" max="7434" width="11.7109375" style="376" customWidth="1"/>
    <col min="7435" max="7435" width="12.42578125" style="376" customWidth="1"/>
    <col min="7436" max="7436" width="11.7109375" style="376" customWidth="1"/>
    <col min="7437" max="7437" width="13.140625" style="376" customWidth="1"/>
    <col min="7438" max="7673" width="9.140625" style="376"/>
    <col min="7674" max="7674" width="3.7109375" style="376" customWidth="1"/>
    <col min="7675" max="7675" width="30.42578125" style="376" customWidth="1"/>
    <col min="7676" max="7676" width="7.140625" style="376" customWidth="1"/>
    <col min="7677" max="7677" width="10.7109375" style="376" customWidth="1"/>
    <col min="7678" max="7678" width="10.42578125" style="376" customWidth="1"/>
    <col min="7679" max="7679" width="10.5703125" style="376" customWidth="1"/>
    <col min="7680" max="7680" width="10.42578125" style="376" customWidth="1"/>
    <col min="7681" max="7683" width="10.5703125" style="376" customWidth="1"/>
    <col min="7684" max="7686" width="10.42578125" style="376" customWidth="1"/>
    <col min="7687" max="7687" width="10.5703125" style="376" customWidth="1"/>
    <col min="7688" max="7688" width="10.28515625" style="376" customWidth="1"/>
    <col min="7689" max="7689" width="10.140625" style="376" customWidth="1"/>
    <col min="7690" max="7690" width="11.7109375" style="376" customWidth="1"/>
    <col min="7691" max="7691" width="12.42578125" style="376" customWidth="1"/>
    <col min="7692" max="7692" width="11.7109375" style="376" customWidth="1"/>
    <col min="7693" max="7693" width="13.140625" style="376" customWidth="1"/>
    <col min="7694" max="7929" width="9.140625" style="376"/>
    <col min="7930" max="7930" width="3.7109375" style="376" customWidth="1"/>
    <col min="7931" max="7931" width="30.42578125" style="376" customWidth="1"/>
    <col min="7932" max="7932" width="7.140625" style="376" customWidth="1"/>
    <col min="7933" max="7933" width="10.7109375" style="376" customWidth="1"/>
    <col min="7934" max="7934" width="10.42578125" style="376" customWidth="1"/>
    <col min="7935" max="7935" width="10.5703125" style="376" customWidth="1"/>
    <col min="7936" max="7936" width="10.42578125" style="376" customWidth="1"/>
    <col min="7937" max="7939" width="10.5703125" style="376" customWidth="1"/>
    <col min="7940" max="7942" width="10.42578125" style="376" customWidth="1"/>
    <col min="7943" max="7943" width="10.5703125" style="376" customWidth="1"/>
    <col min="7944" max="7944" width="10.28515625" style="376" customWidth="1"/>
    <col min="7945" max="7945" width="10.140625" style="376" customWidth="1"/>
    <col min="7946" max="7946" width="11.7109375" style="376" customWidth="1"/>
    <col min="7947" max="7947" width="12.42578125" style="376" customWidth="1"/>
    <col min="7948" max="7948" width="11.7109375" style="376" customWidth="1"/>
    <col min="7949" max="7949" width="13.140625" style="376" customWidth="1"/>
    <col min="7950" max="8185" width="9.140625" style="376"/>
    <col min="8186" max="8186" width="3.7109375" style="376" customWidth="1"/>
    <col min="8187" max="8187" width="30.42578125" style="376" customWidth="1"/>
    <col min="8188" max="8188" width="7.140625" style="376" customWidth="1"/>
    <col min="8189" max="8189" width="10.7109375" style="376" customWidth="1"/>
    <col min="8190" max="8190" width="10.42578125" style="376" customWidth="1"/>
    <col min="8191" max="8191" width="10.5703125" style="376" customWidth="1"/>
    <col min="8192" max="8192" width="10.42578125" style="376" customWidth="1"/>
    <col min="8193" max="8195" width="10.5703125" style="376" customWidth="1"/>
    <col min="8196" max="8198" width="10.42578125" style="376" customWidth="1"/>
    <col min="8199" max="8199" width="10.5703125" style="376" customWidth="1"/>
    <col min="8200" max="8200" width="10.28515625" style="376" customWidth="1"/>
    <col min="8201" max="8201" width="10.140625" style="376" customWidth="1"/>
    <col min="8202" max="8202" width="11.7109375" style="376" customWidth="1"/>
    <col min="8203" max="8203" width="12.42578125" style="376" customWidth="1"/>
    <col min="8204" max="8204" width="11.7109375" style="376" customWidth="1"/>
    <col min="8205" max="8205" width="13.140625" style="376" customWidth="1"/>
    <col min="8206" max="8441" width="9.140625" style="376"/>
    <col min="8442" max="8442" width="3.7109375" style="376" customWidth="1"/>
    <col min="8443" max="8443" width="30.42578125" style="376" customWidth="1"/>
    <col min="8444" max="8444" width="7.140625" style="376" customWidth="1"/>
    <col min="8445" max="8445" width="10.7109375" style="376" customWidth="1"/>
    <col min="8446" max="8446" width="10.42578125" style="376" customWidth="1"/>
    <col min="8447" max="8447" width="10.5703125" style="376" customWidth="1"/>
    <col min="8448" max="8448" width="10.42578125" style="376" customWidth="1"/>
    <col min="8449" max="8451" width="10.5703125" style="376" customWidth="1"/>
    <col min="8452" max="8454" width="10.42578125" style="376" customWidth="1"/>
    <col min="8455" max="8455" width="10.5703125" style="376" customWidth="1"/>
    <col min="8456" max="8456" width="10.28515625" style="376" customWidth="1"/>
    <col min="8457" max="8457" width="10.140625" style="376" customWidth="1"/>
    <col min="8458" max="8458" width="11.7109375" style="376" customWidth="1"/>
    <col min="8459" max="8459" width="12.42578125" style="376" customWidth="1"/>
    <col min="8460" max="8460" width="11.7109375" style="376" customWidth="1"/>
    <col min="8461" max="8461" width="13.140625" style="376" customWidth="1"/>
    <col min="8462" max="8697" width="9.140625" style="376"/>
    <col min="8698" max="8698" width="3.7109375" style="376" customWidth="1"/>
    <col min="8699" max="8699" width="30.42578125" style="376" customWidth="1"/>
    <col min="8700" max="8700" width="7.140625" style="376" customWidth="1"/>
    <col min="8701" max="8701" width="10.7109375" style="376" customWidth="1"/>
    <col min="8702" max="8702" width="10.42578125" style="376" customWidth="1"/>
    <col min="8703" max="8703" width="10.5703125" style="376" customWidth="1"/>
    <col min="8704" max="8704" width="10.42578125" style="376" customWidth="1"/>
    <col min="8705" max="8707" width="10.5703125" style="376" customWidth="1"/>
    <col min="8708" max="8710" width="10.42578125" style="376" customWidth="1"/>
    <col min="8711" max="8711" width="10.5703125" style="376" customWidth="1"/>
    <col min="8712" max="8712" width="10.28515625" style="376" customWidth="1"/>
    <col min="8713" max="8713" width="10.140625" style="376" customWidth="1"/>
    <col min="8714" max="8714" width="11.7109375" style="376" customWidth="1"/>
    <col min="8715" max="8715" width="12.42578125" style="376" customWidth="1"/>
    <col min="8716" max="8716" width="11.7109375" style="376" customWidth="1"/>
    <col min="8717" max="8717" width="13.140625" style="376" customWidth="1"/>
    <col min="8718" max="8953" width="9.140625" style="376"/>
    <col min="8954" max="8954" width="3.7109375" style="376" customWidth="1"/>
    <col min="8955" max="8955" width="30.42578125" style="376" customWidth="1"/>
    <col min="8956" max="8956" width="7.140625" style="376" customWidth="1"/>
    <col min="8957" max="8957" width="10.7109375" style="376" customWidth="1"/>
    <col min="8958" max="8958" width="10.42578125" style="376" customWidth="1"/>
    <col min="8959" max="8959" width="10.5703125" style="376" customWidth="1"/>
    <col min="8960" max="8960" width="10.42578125" style="376" customWidth="1"/>
    <col min="8961" max="8963" width="10.5703125" style="376" customWidth="1"/>
    <col min="8964" max="8966" width="10.42578125" style="376" customWidth="1"/>
    <col min="8967" max="8967" width="10.5703125" style="376" customWidth="1"/>
    <col min="8968" max="8968" width="10.28515625" style="376" customWidth="1"/>
    <col min="8969" max="8969" width="10.140625" style="376" customWidth="1"/>
    <col min="8970" max="8970" width="11.7109375" style="376" customWidth="1"/>
    <col min="8971" max="8971" width="12.42578125" style="376" customWidth="1"/>
    <col min="8972" max="8972" width="11.7109375" style="376" customWidth="1"/>
    <col min="8973" max="8973" width="13.140625" style="376" customWidth="1"/>
    <col min="8974" max="9209" width="9.140625" style="376"/>
    <col min="9210" max="9210" width="3.7109375" style="376" customWidth="1"/>
    <col min="9211" max="9211" width="30.42578125" style="376" customWidth="1"/>
    <col min="9212" max="9212" width="7.140625" style="376" customWidth="1"/>
    <col min="9213" max="9213" width="10.7109375" style="376" customWidth="1"/>
    <col min="9214" max="9214" width="10.42578125" style="376" customWidth="1"/>
    <col min="9215" max="9215" width="10.5703125" style="376" customWidth="1"/>
    <col min="9216" max="9216" width="10.42578125" style="376" customWidth="1"/>
    <col min="9217" max="9219" width="10.5703125" style="376" customWidth="1"/>
    <col min="9220" max="9222" width="10.42578125" style="376" customWidth="1"/>
    <col min="9223" max="9223" width="10.5703125" style="376" customWidth="1"/>
    <col min="9224" max="9224" width="10.28515625" style="376" customWidth="1"/>
    <col min="9225" max="9225" width="10.140625" style="376" customWidth="1"/>
    <col min="9226" max="9226" width="11.7109375" style="376" customWidth="1"/>
    <col min="9227" max="9227" width="12.42578125" style="376" customWidth="1"/>
    <col min="9228" max="9228" width="11.7109375" style="376" customWidth="1"/>
    <col min="9229" max="9229" width="13.140625" style="376" customWidth="1"/>
    <col min="9230" max="9465" width="9.140625" style="376"/>
    <col min="9466" max="9466" width="3.7109375" style="376" customWidth="1"/>
    <col min="9467" max="9467" width="30.42578125" style="376" customWidth="1"/>
    <col min="9468" max="9468" width="7.140625" style="376" customWidth="1"/>
    <col min="9469" max="9469" width="10.7109375" style="376" customWidth="1"/>
    <col min="9470" max="9470" width="10.42578125" style="376" customWidth="1"/>
    <col min="9471" max="9471" width="10.5703125" style="376" customWidth="1"/>
    <col min="9472" max="9472" width="10.42578125" style="376" customWidth="1"/>
    <col min="9473" max="9475" width="10.5703125" style="376" customWidth="1"/>
    <col min="9476" max="9478" width="10.42578125" style="376" customWidth="1"/>
    <col min="9479" max="9479" width="10.5703125" style="376" customWidth="1"/>
    <col min="9480" max="9480" width="10.28515625" style="376" customWidth="1"/>
    <col min="9481" max="9481" width="10.140625" style="376" customWidth="1"/>
    <col min="9482" max="9482" width="11.7109375" style="376" customWidth="1"/>
    <col min="9483" max="9483" width="12.42578125" style="376" customWidth="1"/>
    <col min="9484" max="9484" width="11.7109375" style="376" customWidth="1"/>
    <col min="9485" max="9485" width="13.140625" style="376" customWidth="1"/>
    <col min="9486" max="9721" width="9.140625" style="376"/>
    <col min="9722" max="9722" width="3.7109375" style="376" customWidth="1"/>
    <col min="9723" max="9723" width="30.42578125" style="376" customWidth="1"/>
    <col min="9724" max="9724" width="7.140625" style="376" customWidth="1"/>
    <col min="9725" max="9725" width="10.7109375" style="376" customWidth="1"/>
    <col min="9726" max="9726" width="10.42578125" style="376" customWidth="1"/>
    <col min="9727" max="9727" width="10.5703125" style="376" customWidth="1"/>
    <col min="9728" max="9728" width="10.42578125" style="376" customWidth="1"/>
    <col min="9729" max="9731" width="10.5703125" style="376" customWidth="1"/>
    <col min="9732" max="9734" width="10.42578125" style="376" customWidth="1"/>
    <col min="9735" max="9735" width="10.5703125" style="376" customWidth="1"/>
    <col min="9736" max="9736" width="10.28515625" style="376" customWidth="1"/>
    <col min="9737" max="9737" width="10.140625" style="376" customWidth="1"/>
    <col min="9738" max="9738" width="11.7109375" style="376" customWidth="1"/>
    <col min="9739" max="9739" width="12.42578125" style="376" customWidth="1"/>
    <col min="9740" max="9740" width="11.7109375" style="376" customWidth="1"/>
    <col min="9741" max="9741" width="13.140625" style="376" customWidth="1"/>
    <col min="9742" max="9977" width="9.140625" style="376"/>
    <col min="9978" max="9978" width="3.7109375" style="376" customWidth="1"/>
    <col min="9979" max="9979" width="30.42578125" style="376" customWidth="1"/>
    <col min="9980" max="9980" width="7.140625" style="376" customWidth="1"/>
    <col min="9981" max="9981" width="10.7109375" style="376" customWidth="1"/>
    <col min="9982" max="9982" width="10.42578125" style="376" customWidth="1"/>
    <col min="9983" max="9983" width="10.5703125" style="376" customWidth="1"/>
    <col min="9984" max="9984" width="10.42578125" style="376" customWidth="1"/>
    <col min="9985" max="9987" width="10.5703125" style="376" customWidth="1"/>
    <col min="9988" max="9990" width="10.42578125" style="376" customWidth="1"/>
    <col min="9991" max="9991" width="10.5703125" style="376" customWidth="1"/>
    <col min="9992" max="9992" width="10.28515625" style="376" customWidth="1"/>
    <col min="9993" max="9993" width="10.140625" style="376" customWidth="1"/>
    <col min="9994" max="9994" width="11.7109375" style="376" customWidth="1"/>
    <col min="9995" max="9995" width="12.42578125" style="376" customWidth="1"/>
    <col min="9996" max="9996" width="11.7109375" style="376" customWidth="1"/>
    <col min="9997" max="9997" width="13.140625" style="376" customWidth="1"/>
    <col min="9998" max="10233" width="9.140625" style="376"/>
    <col min="10234" max="10234" width="3.7109375" style="376" customWidth="1"/>
    <col min="10235" max="10235" width="30.42578125" style="376" customWidth="1"/>
    <col min="10236" max="10236" width="7.140625" style="376" customWidth="1"/>
    <col min="10237" max="10237" width="10.7109375" style="376" customWidth="1"/>
    <col min="10238" max="10238" width="10.42578125" style="376" customWidth="1"/>
    <col min="10239" max="10239" width="10.5703125" style="376" customWidth="1"/>
    <col min="10240" max="10240" width="10.42578125" style="376" customWidth="1"/>
    <col min="10241" max="10243" width="10.5703125" style="376" customWidth="1"/>
    <col min="10244" max="10246" width="10.42578125" style="376" customWidth="1"/>
    <col min="10247" max="10247" width="10.5703125" style="376" customWidth="1"/>
    <col min="10248" max="10248" width="10.28515625" style="376" customWidth="1"/>
    <col min="10249" max="10249" width="10.140625" style="376" customWidth="1"/>
    <col min="10250" max="10250" width="11.7109375" style="376" customWidth="1"/>
    <col min="10251" max="10251" width="12.42578125" style="376" customWidth="1"/>
    <col min="10252" max="10252" width="11.7109375" style="376" customWidth="1"/>
    <col min="10253" max="10253" width="13.140625" style="376" customWidth="1"/>
    <col min="10254" max="10489" width="9.140625" style="376"/>
    <col min="10490" max="10490" width="3.7109375" style="376" customWidth="1"/>
    <col min="10491" max="10491" width="30.42578125" style="376" customWidth="1"/>
    <col min="10492" max="10492" width="7.140625" style="376" customWidth="1"/>
    <col min="10493" max="10493" width="10.7109375" style="376" customWidth="1"/>
    <col min="10494" max="10494" width="10.42578125" style="376" customWidth="1"/>
    <col min="10495" max="10495" width="10.5703125" style="376" customWidth="1"/>
    <col min="10496" max="10496" width="10.42578125" style="376" customWidth="1"/>
    <col min="10497" max="10499" width="10.5703125" style="376" customWidth="1"/>
    <col min="10500" max="10502" width="10.42578125" style="376" customWidth="1"/>
    <col min="10503" max="10503" width="10.5703125" style="376" customWidth="1"/>
    <col min="10504" max="10504" width="10.28515625" style="376" customWidth="1"/>
    <col min="10505" max="10505" width="10.140625" style="376" customWidth="1"/>
    <col min="10506" max="10506" width="11.7109375" style="376" customWidth="1"/>
    <col min="10507" max="10507" width="12.42578125" style="376" customWidth="1"/>
    <col min="10508" max="10508" width="11.7109375" style="376" customWidth="1"/>
    <col min="10509" max="10509" width="13.140625" style="376" customWidth="1"/>
    <col min="10510" max="10745" width="9.140625" style="376"/>
    <col min="10746" max="10746" width="3.7109375" style="376" customWidth="1"/>
    <col min="10747" max="10747" width="30.42578125" style="376" customWidth="1"/>
    <col min="10748" max="10748" width="7.140625" style="376" customWidth="1"/>
    <col min="10749" max="10749" width="10.7109375" style="376" customWidth="1"/>
    <col min="10750" max="10750" width="10.42578125" style="376" customWidth="1"/>
    <col min="10751" max="10751" width="10.5703125" style="376" customWidth="1"/>
    <col min="10752" max="10752" width="10.42578125" style="376" customWidth="1"/>
    <col min="10753" max="10755" width="10.5703125" style="376" customWidth="1"/>
    <col min="10756" max="10758" width="10.42578125" style="376" customWidth="1"/>
    <col min="10759" max="10759" width="10.5703125" style="376" customWidth="1"/>
    <col min="10760" max="10760" width="10.28515625" style="376" customWidth="1"/>
    <col min="10761" max="10761" width="10.140625" style="376" customWidth="1"/>
    <col min="10762" max="10762" width="11.7109375" style="376" customWidth="1"/>
    <col min="10763" max="10763" width="12.42578125" style="376" customWidth="1"/>
    <col min="10764" max="10764" width="11.7109375" style="376" customWidth="1"/>
    <col min="10765" max="10765" width="13.140625" style="376" customWidth="1"/>
    <col min="10766" max="11001" width="9.140625" style="376"/>
    <col min="11002" max="11002" width="3.7109375" style="376" customWidth="1"/>
    <col min="11003" max="11003" width="30.42578125" style="376" customWidth="1"/>
    <col min="11004" max="11004" width="7.140625" style="376" customWidth="1"/>
    <col min="11005" max="11005" width="10.7109375" style="376" customWidth="1"/>
    <col min="11006" max="11006" width="10.42578125" style="376" customWidth="1"/>
    <col min="11007" max="11007" width="10.5703125" style="376" customWidth="1"/>
    <col min="11008" max="11008" width="10.42578125" style="376" customWidth="1"/>
    <col min="11009" max="11011" width="10.5703125" style="376" customWidth="1"/>
    <col min="11012" max="11014" width="10.42578125" style="376" customWidth="1"/>
    <col min="11015" max="11015" width="10.5703125" style="376" customWidth="1"/>
    <col min="11016" max="11016" width="10.28515625" style="376" customWidth="1"/>
    <col min="11017" max="11017" width="10.140625" style="376" customWidth="1"/>
    <col min="11018" max="11018" width="11.7109375" style="376" customWidth="1"/>
    <col min="11019" max="11019" width="12.42578125" style="376" customWidth="1"/>
    <col min="11020" max="11020" width="11.7109375" style="376" customWidth="1"/>
    <col min="11021" max="11021" width="13.140625" style="376" customWidth="1"/>
    <col min="11022" max="11257" width="9.140625" style="376"/>
    <col min="11258" max="11258" width="3.7109375" style="376" customWidth="1"/>
    <col min="11259" max="11259" width="30.42578125" style="376" customWidth="1"/>
    <col min="11260" max="11260" width="7.140625" style="376" customWidth="1"/>
    <col min="11261" max="11261" width="10.7109375" style="376" customWidth="1"/>
    <col min="11262" max="11262" width="10.42578125" style="376" customWidth="1"/>
    <col min="11263" max="11263" width="10.5703125" style="376" customWidth="1"/>
    <col min="11264" max="11264" width="10.42578125" style="376" customWidth="1"/>
    <col min="11265" max="11267" width="10.5703125" style="376" customWidth="1"/>
    <col min="11268" max="11270" width="10.42578125" style="376" customWidth="1"/>
    <col min="11271" max="11271" width="10.5703125" style="376" customWidth="1"/>
    <col min="11272" max="11272" width="10.28515625" style="376" customWidth="1"/>
    <col min="11273" max="11273" width="10.140625" style="376" customWidth="1"/>
    <col min="11274" max="11274" width="11.7109375" style="376" customWidth="1"/>
    <col min="11275" max="11275" width="12.42578125" style="376" customWidth="1"/>
    <col min="11276" max="11276" width="11.7109375" style="376" customWidth="1"/>
    <col min="11277" max="11277" width="13.140625" style="376" customWidth="1"/>
    <col min="11278" max="11513" width="9.140625" style="376"/>
    <col min="11514" max="11514" width="3.7109375" style="376" customWidth="1"/>
    <col min="11515" max="11515" width="30.42578125" style="376" customWidth="1"/>
    <col min="11516" max="11516" width="7.140625" style="376" customWidth="1"/>
    <col min="11517" max="11517" width="10.7109375" style="376" customWidth="1"/>
    <col min="11518" max="11518" width="10.42578125" style="376" customWidth="1"/>
    <col min="11519" max="11519" width="10.5703125" style="376" customWidth="1"/>
    <col min="11520" max="11520" width="10.42578125" style="376" customWidth="1"/>
    <col min="11521" max="11523" width="10.5703125" style="376" customWidth="1"/>
    <col min="11524" max="11526" width="10.42578125" style="376" customWidth="1"/>
    <col min="11527" max="11527" width="10.5703125" style="376" customWidth="1"/>
    <col min="11528" max="11528" width="10.28515625" style="376" customWidth="1"/>
    <col min="11529" max="11529" width="10.140625" style="376" customWidth="1"/>
    <col min="11530" max="11530" width="11.7109375" style="376" customWidth="1"/>
    <col min="11531" max="11531" width="12.42578125" style="376" customWidth="1"/>
    <col min="11532" max="11532" width="11.7109375" style="376" customWidth="1"/>
    <col min="11533" max="11533" width="13.140625" style="376" customWidth="1"/>
    <col min="11534" max="11769" width="9.140625" style="376"/>
    <col min="11770" max="11770" width="3.7109375" style="376" customWidth="1"/>
    <col min="11771" max="11771" width="30.42578125" style="376" customWidth="1"/>
    <col min="11772" max="11772" width="7.140625" style="376" customWidth="1"/>
    <col min="11773" max="11773" width="10.7109375" style="376" customWidth="1"/>
    <col min="11774" max="11774" width="10.42578125" style="376" customWidth="1"/>
    <col min="11775" max="11775" width="10.5703125" style="376" customWidth="1"/>
    <col min="11776" max="11776" width="10.42578125" style="376" customWidth="1"/>
    <col min="11777" max="11779" width="10.5703125" style="376" customWidth="1"/>
    <col min="11780" max="11782" width="10.42578125" style="376" customWidth="1"/>
    <col min="11783" max="11783" width="10.5703125" style="376" customWidth="1"/>
    <col min="11784" max="11784" width="10.28515625" style="376" customWidth="1"/>
    <col min="11785" max="11785" width="10.140625" style="376" customWidth="1"/>
    <col min="11786" max="11786" width="11.7109375" style="376" customWidth="1"/>
    <col min="11787" max="11787" width="12.42578125" style="376" customWidth="1"/>
    <col min="11788" max="11788" width="11.7109375" style="376" customWidth="1"/>
    <col min="11789" max="11789" width="13.140625" style="376" customWidth="1"/>
    <col min="11790" max="12025" width="9.140625" style="376"/>
    <col min="12026" max="12026" width="3.7109375" style="376" customWidth="1"/>
    <col min="12027" max="12027" width="30.42578125" style="376" customWidth="1"/>
    <col min="12028" max="12028" width="7.140625" style="376" customWidth="1"/>
    <col min="12029" max="12029" width="10.7109375" style="376" customWidth="1"/>
    <col min="12030" max="12030" width="10.42578125" style="376" customWidth="1"/>
    <col min="12031" max="12031" width="10.5703125" style="376" customWidth="1"/>
    <col min="12032" max="12032" width="10.42578125" style="376" customWidth="1"/>
    <col min="12033" max="12035" width="10.5703125" style="376" customWidth="1"/>
    <col min="12036" max="12038" width="10.42578125" style="376" customWidth="1"/>
    <col min="12039" max="12039" width="10.5703125" style="376" customWidth="1"/>
    <col min="12040" max="12040" width="10.28515625" style="376" customWidth="1"/>
    <col min="12041" max="12041" width="10.140625" style="376" customWidth="1"/>
    <col min="12042" max="12042" width="11.7109375" style="376" customWidth="1"/>
    <col min="12043" max="12043" width="12.42578125" style="376" customWidth="1"/>
    <col min="12044" max="12044" width="11.7109375" style="376" customWidth="1"/>
    <col min="12045" max="12045" width="13.140625" style="376" customWidth="1"/>
    <col min="12046" max="12281" width="9.140625" style="376"/>
    <col min="12282" max="12282" width="3.7109375" style="376" customWidth="1"/>
    <col min="12283" max="12283" width="30.42578125" style="376" customWidth="1"/>
    <col min="12284" max="12284" width="7.140625" style="376" customWidth="1"/>
    <col min="12285" max="12285" width="10.7109375" style="376" customWidth="1"/>
    <col min="12286" max="12286" width="10.42578125" style="376" customWidth="1"/>
    <col min="12287" max="12287" width="10.5703125" style="376" customWidth="1"/>
    <col min="12288" max="12288" width="10.42578125" style="376" customWidth="1"/>
    <col min="12289" max="12291" width="10.5703125" style="376" customWidth="1"/>
    <col min="12292" max="12294" width="10.42578125" style="376" customWidth="1"/>
    <col min="12295" max="12295" width="10.5703125" style="376" customWidth="1"/>
    <col min="12296" max="12296" width="10.28515625" style="376" customWidth="1"/>
    <col min="12297" max="12297" width="10.140625" style="376" customWidth="1"/>
    <col min="12298" max="12298" width="11.7109375" style="376" customWidth="1"/>
    <col min="12299" max="12299" width="12.42578125" style="376" customWidth="1"/>
    <col min="12300" max="12300" width="11.7109375" style="376" customWidth="1"/>
    <col min="12301" max="12301" width="13.140625" style="376" customWidth="1"/>
    <col min="12302" max="12537" width="9.140625" style="376"/>
    <col min="12538" max="12538" width="3.7109375" style="376" customWidth="1"/>
    <col min="12539" max="12539" width="30.42578125" style="376" customWidth="1"/>
    <col min="12540" max="12540" width="7.140625" style="376" customWidth="1"/>
    <col min="12541" max="12541" width="10.7109375" style="376" customWidth="1"/>
    <col min="12542" max="12542" width="10.42578125" style="376" customWidth="1"/>
    <col min="12543" max="12543" width="10.5703125" style="376" customWidth="1"/>
    <col min="12544" max="12544" width="10.42578125" style="376" customWidth="1"/>
    <col min="12545" max="12547" width="10.5703125" style="376" customWidth="1"/>
    <col min="12548" max="12550" width="10.42578125" style="376" customWidth="1"/>
    <col min="12551" max="12551" width="10.5703125" style="376" customWidth="1"/>
    <col min="12552" max="12552" width="10.28515625" style="376" customWidth="1"/>
    <col min="12553" max="12553" width="10.140625" style="376" customWidth="1"/>
    <col min="12554" max="12554" width="11.7109375" style="376" customWidth="1"/>
    <col min="12555" max="12555" width="12.42578125" style="376" customWidth="1"/>
    <col min="12556" max="12556" width="11.7109375" style="376" customWidth="1"/>
    <col min="12557" max="12557" width="13.140625" style="376" customWidth="1"/>
    <col min="12558" max="12793" width="9.140625" style="376"/>
    <col min="12794" max="12794" width="3.7109375" style="376" customWidth="1"/>
    <col min="12795" max="12795" width="30.42578125" style="376" customWidth="1"/>
    <col min="12796" max="12796" width="7.140625" style="376" customWidth="1"/>
    <col min="12797" max="12797" width="10.7109375" style="376" customWidth="1"/>
    <col min="12798" max="12798" width="10.42578125" style="376" customWidth="1"/>
    <col min="12799" max="12799" width="10.5703125" style="376" customWidth="1"/>
    <col min="12800" max="12800" width="10.42578125" style="376" customWidth="1"/>
    <col min="12801" max="12803" width="10.5703125" style="376" customWidth="1"/>
    <col min="12804" max="12806" width="10.42578125" style="376" customWidth="1"/>
    <col min="12807" max="12807" width="10.5703125" style="376" customWidth="1"/>
    <col min="12808" max="12808" width="10.28515625" style="376" customWidth="1"/>
    <col min="12809" max="12809" width="10.140625" style="376" customWidth="1"/>
    <col min="12810" max="12810" width="11.7109375" style="376" customWidth="1"/>
    <col min="12811" max="12811" width="12.42578125" style="376" customWidth="1"/>
    <col min="12812" max="12812" width="11.7109375" style="376" customWidth="1"/>
    <col min="12813" max="12813" width="13.140625" style="376" customWidth="1"/>
    <col min="12814" max="13049" width="9.140625" style="376"/>
    <col min="13050" max="13050" width="3.7109375" style="376" customWidth="1"/>
    <col min="13051" max="13051" width="30.42578125" style="376" customWidth="1"/>
    <col min="13052" max="13052" width="7.140625" style="376" customWidth="1"/>
    <col min="13053" max="13053" width="10.7109375" style="376" customWidth="1"/>
    <col min="13054" max="13054" width="10.42578125" style="376" customWidth="1"/>
    <col min="13055" max="13055" width="10.5703125" style="376" customWidth="1"/>
    <col min="13056" max="13056" width="10.42578125" style="376" customWidth="1"/>
    <col min="13057" max="13059" width="10.5703125" style="376" customWidth="1"/>
    <col min="13060" max="13062" width="10.42578125" style="376" customWidth="1"/>
    <col min="13063" max="13063" width="10.5703125" style="376" customWidth="1"/>
    <col min="13064" max="13064" width="10.28515625" style="376" customWidth="1"/>
    <col min="13065" max="13065" width="10.140625" style="376" customWidth="1"/>
    <col min="13066" max="13066" width="11.7109375" style="376" customWidth="1"/>
    <col min="13067" max="13067" width="12.42578125" style="376" customWidth="1"/>
    <col min="13068" max="13068" width="11.7109375" style="376" customWidth="1"/>
    <col min="13069" max="13069" width="13.140625" style="376" customWidth="1"/>
    <col min="13070" max="13305" width="9.140625" style="376"/>
    <col min="13306" max="13306" width="3.7109375" style="376" customWidth="1"/>
    <col min="13307" max="13307" width="30.42578125" style="376" customWidth="1"/>
    <col min="13308" max="13308" width="7.140625" style="376" customWidth="1"/>
    <col min="13309" max="13309" width="10.7109375" style="376" customWidth="1"/>
    <col min="13310" max="13310" width="10.42578125" style="376" customWidth="1"/>
    <col min="13311" max="13311" width="10.5703125" style="376" customWidth="1"/>
    <col min="13312" max="13312" width="10.42578125" style="376" customWidth="1"/>
    <col min="13313" max="13315" width="10.5703125" style="376" customWidth="1"/>
    <col min="13316" max="13318" width="10.42578125" style="376" customWidth="1"/>
    <col min="13319" max="13319" width="10.5703125" style="376" customWidth="1"/>
    <col min="13320" max="13320" width="10.28515625" style="376" customWidth="1"/>
    <col min="13321" max="13321" width="10.140625" style="376" customWidth="1"/>
    <col min="13322" max="13322" width="11.7109375" style="376" customWidth="1"/>
    <col min="13323" max="13323" width="12.42578125" style="376" customWidth="1"/>
    <col min="13324" max="13324" width="11.7109375" style="376" customWidth="1"/>
    <col min="13325" max="13325" width="13.140625" style="376" customWidth="1"/>
    <col min="13326" max="13561" width="9.140625" style="376"/>
    <col min="13562" max="13562" width="3.7109375" style="376" customWidth="1"/>
    <col min="13563" max="13563" width="30.42578125" style="376" customWidth="1"/>
    <col min="13564" max="13564" width="7.140625" style="376" customWidth="1"/>
    <col min="13565" max="13565" width="10.7109375" style="376" customWidth="1"/>
    <col min="13566" max="13566" width="10.42578125" style="376" customWidth="1"/>
    <col min="13567" max="13567" width="10.5703125" style="376" customWidth="1"/>
    <col min="13568" max="13568" width="10.42578125" style="376" customWidth="1"/>
    <col min="13569" max="13571" width="10.5703125" style="376" customWidth="1"/>
    <col min="13572" max="13574" width="10.42578125" style="376" customWidth="1"/>
    <col min="13575" max="13575" width="10.5703125" style="376" customWidth="1"/>
    <col min="13576" max="13576" width="10.28515625" style="376" customWidth="1"/>
    <col min="13577" max="13577" width="10.140625" style="376" customWidth="1"/>
    <col min="13578" max="13578" width="11.7109375" style="376" customWidth="1"/>
    <col min="13579" max="13579" width="12.42578125" style="376" customWidth="1"/>
    <col min="13580" max="13580" width="11.7109375" style="376" customWidth="1"/>
    <col min="13581" max="13581" width="13.140625" style="376" customWidth="1"/>
    <col min="13582" max="13817" width="9.140625" style="376"/>
    <col min="13818" max="13818" width="3.7109375" style="376" customWidth="1"/>
    <col min="13819" max="13819" width="30.42578125" style="376" customWidth="1"/>
    <col min="13820" max="13820" width="7.140625" style="376" customWidth="1"/>
    <col min="13821" max="13821" width="10.7109375" style="376" customWidth="1"/>
    <col min="13822" max="13822" width="10.42578125" style="376" customWidth="1"/>
    <col min="13823" max="13823" width="10.5703125" style="376" customWidth="1"/>
    <col min="13824" max="13824" width="10.42578125" style="376" customWidth="1"/>
    <col min="13825" max="13827" width="10.5703125" style="376" customWidth="1"/>
    <col min="13828" max="13830" width="10.42578125" style="376" customWidth="1"/>
    <col min="13831" max="13831" width="10.5703125" style="376" customWidth="1"/>
    <col min="13832" max="13832" width="10.28515625" style="376" customWidth="1"/>
    <col min="13833" max="13833" width="10.140625" style="376" customWidth="1"/>
    <col min="13834" max="13834" width="11.7109375" style="376" customWidth="1"/>
    <col min="13835" max="13835" width="12.42578125" style="376" customWidth="1"/>
    <col min="13836" max="13836" width="11.7109375" style="376" customWidth="1"/>
    <col min="13837" max="13837" width="13.140625" style="376" customWidth="1"/>
    <col min="13838" max="14073" width="9.140625" style="376"/>
    <col min="14074" max="14074" width="3.7109375" style="376" customWidth="1"/>
    <col min="14075" max="14075" width="30.42578125" style="376" customWidth="1"/>
    <col min="14076" max="14076" width="7.140625" style="376" customWidth="1"/>
    <col min="14077" max="14077" width="10.7109375" style="376" customWidth="1"/>
    <col min="14078" max="14078" width="10.42578125" style="376" customWidth="1"/>
    <col min="14079" max="14079" width="10.5703125" style="376" customWidth="1"/>
    <col min="14080" max="14080" width="10.42578125" style="376" customWidth="1"/>
    <col min="14081" max="14083" width="10.5703125" style="376" customWidth="1"/>
    <col min="14084" max="14086" width="10.42578125" style="376" customWidth="1"/>
    <col min="14087" max="14087" width="10.5703125" style="376" customWidth="1"/>
    <col min="14088" max="14088" width="10.28515625" style="376" customWidth="1"/>
    <col min="14089" max="14089" width="10.140625" style="376" customWidth="1"/>
    <col min="14090" max="14090" width="11.7109375" style="376" customWidth="1"/>
    <col min="14091" max="14091" width="12.42578125" style="376" customWidth="1"/>
    <col min="14092" max="14092" width="11.7109375" style="376" customWidth="1"/>
    <col min="14093" max="14093" width="13.140625" style="376" customWidth="1"/>
    <col min="14094" max="14329" width="9.140625" style="376"/>
    <col min="14330" max="14330" width="3.7109375" style="376" customWidth="1"/>
    <col min="14331" max="14331" width="30.42578125" style="376" customWidth="1"/>
    <col min="14332" max="14332" width="7.140625" style="376" customWidth="1"/>
    <col min="14333" max="14333" width="10.7109375" style="376" customWidth="1"/>
    <col min="14334" max="14334" width="10.42578125" style="376" customWidth="1"/>
    <col min="14335" max="14335" width="10.5703125" style="376" customWidth="1"/>
    <col min="14336" max="14336" width="10.42578125" style="376" customWidth="1"/>
    <col min="14337" max="14339" width="10.5703125" style="376" customWidth="1"/>
    <col min="14340" max="14342" width="10.42578125" style="376" customWidth="1"/>
    <col min="14343" max="14343" width="10.5703125" style="376" customWidth="1"/>
    <col min="14344" max="14344" width="10.28515625" style="376" customWidth="1"/>
    <col min="14345" max="14345" width="10.140625" style="376" customWidth="1"/>
    <col min="14346" max="14346" width="11.7109375" style="376" customWidth="1"/>
    <col min="14347" max="14347" width="12.42578125" style="376" customWidth="1"/>
    <col min="14348" max="14348" width="11.7109375" style="376" customWidth="1"/>
    <col min="14349" max="14349" width="13.140625" style="376" customWidth="1"/>
    <col min="14350" max="14585" width="9.140625" style="376"/>
    <col min="14586" max="14586" width="3.7109375" style="376" customWidth="1"/>
    <col min="14587" max="14587" width="30.42578125" style="376" customWidth="1"/>
    <col min="14588" max="14588" width="7.140625" style="376" customWidth="1"/>
    <col min="14589" max="14589" width="10.7109375" style="376" customWidth="1"/>
    <col min="14590" max="14590" width="10.42578125" style="376" customWidth="1"/>
    <col min="14591" max="14591" width="10.5703125" style="376" customWidth="1"/>
    <col min="14592" max="14592" width="10.42578125" style="376" customWidth="1"/>
    <col min="14593" max="14595" width="10.5703125" style="376" customWidth="1"/>
    <col min="14596" max="14598" width="10.42578125" style="376" customWidth="1"/>
    <col min="14599" max="14599" width="10.5703125" style="376" customWidth="1"/>
    <col min="14600" max="14600" width="10.28515625" style="376" customWidth="1"/>
    <col min="14601" max="14601" width="10.140625" style="376" customWidth="1"/>
    <col min="14602" max="14602" width="11.7109375" style="376" customWidth="1"/>
    <col min="14603" max="14603" width="12.42578125" style="376" customWidth="1"/>
    <col min="14604" max="14604" width="11.7109375" style="376" customWidth="1"/>
    <col min="14605" max="14605" width="13.140625" style="376" customWidth="1"/>
    <col min="14606" max="14841" width="9.140625" style="376"/>
    <col min="14842" max="14842" width="3.7109375" style="376" customWidth="1"/>
    <col min="14843" max="14843" width="30.42578125" style="376" customWidth="1"/>
    <col min="14844" max="14844" width="7.140625" style="376" customWidth="1"/>
    <col min="14845" max="14845" width="10.7109375" style="376" customWidth="1"/>
    <col min="14846" max="14846" width="10.42578125" style="376" customWidth="1"/>
    <col min="14847" max="14847" width="10.5703125" style="376" customWidth="1"/>
    <col min="14848" max="14848" width="10.42578125" style="376" customWidth="1"/>
    <col min="14849" max="14851" width="10.5703125" style="376" customWidth="1"/>
    <col min="14852" max="14854" width="10.42578125" style="376" customWidth="1"/>
    <col min="14855" max="14855" width="10.5703125" style="376" customWidth="1"/>
    <col min="14856" max="14856" width="10.28515625" style="376" customWidth="1"/>
    <col min="14857" max="14857" width="10.140625" style="376" customWidth="1"/>
    <col min="14858" max="14858" width="11.7109375" style="376" customWidth="1"/>
    <col min="14859" max="14859" width="12.42578125" style="376" customWidth="1"/>
    <col min="14860" max="14860" width="11.7109375" style="376" customWidth="1"/>
    <col min="14861" max="14861" width="13.140625" style="376" customWidth="1"/>
    <col min="14862" max="15097" width="9.140625" style="376"/>
    <col min="15098" max="15098" width="3.7109375" style="376" customWidth="1"/>
    <col min="15099" max="15099" width="30.42578125" style="376" customWidth="1"/>
    <col min="15100" max="15100" width="7.140625" style="376" customWidth="1"/>
    <col min="15101" max="15101" width="10.7109375" style="376" customWidth="1"/>
    <col min="15102" max="15102" width="10.42578125" style="376" customWidth="1"/>
    <col min="15103" max="15103" width="10.5703125" style="376" customWidth="1"/>
    <col min="15104" max="15104" width="10.42578125" style="376" customWidth="1"/>
    <col min="15105" max="15107" width="10.5703125" style="376" customWidth="1"/>
    <col min="15108" max="15110" width="10.42578125" style="376" customWidth="1"/>
    <col min="15111" max="15111" width="10.5703125" style="376" customWidth="1"/>
    <col min="15112" max="15112" width="10.28515625" style="376" customWidth="1"/>
    <col min="15113" max="15113" width="10.140625" style="376" customWidth="1"/>
    <col min="15114" max="15114" width="11.7109375" style="376" customWidth="1"/>
    <col min="15115" max="15115" width="12.42578125" style="376" customWidth="1"/>
    <col min="15116" max="15116" width="11.7109375" style="376" customWidth="1"/>
    <col min="15117" max="15117" width="13.140625" style="376" customWidth="1"/>
    <col min="15118" max="15353" width="9.140625" style="376"/>
    <col min="15354" max="15354" width="3.7109375" style="376" customWidth="1"/>
    <col min="15355" max="15355" width="30.42578125" style="376" customWidth="1"/>
    <col min="15356" max="15356" width="7.140625" style="376" customWidth="1"/>
    <col min="15357" max="15357" width="10.7109375" style="376" customWidth="1"/>
    <col min="15358" max="15358" width="10.42578125" style="376" customWidth="1"/>
    <col min="15359" max="15359" width="10.5703125" style="376" customWidth="1"/>
    <col min="15360" max="15360" width="10.42578125" style="376" customWidth="1"/>
    <col min="15361" max="15363" width="10.5703125" style="376" customWidth="1"/>
    <col min="15364" max="15366" width="10.42578125" style="376" customWidth="1"/>
    <col min="15367" max="15367" width="10.5703125" style="376" customWidth="1"/>
    <col min="15368" max="15368" width="10.28515625" style="376" customWidth="1"/>
    <col min="15369" max="15369" width="10.140625" style="376" customWidth="1"/>
    <col min="15370" max="15370" width="11.7109375" style="376" customWidth="1"/>
    <col min="15371" max="15371" width="12.42578125" style="376" customWidth="1"/>
    <col min="15372" max="15372" width="11.7109375" style="376" customWidth="1"/>
    <col min="15373" max="15373" width="13.140625" style="376" customWidth="1"/>
    <col min="15374" max="15609" width="9.140625" style="376"/>
    <col min="15610" max="15610" width="3.7109375" style="376" customWidth="1"/>
    <col min="15611" max="15611" width="30.42578125" style="376" customWidth="1"/>
    <col min="15612" max="15612" width="7.140625" style="376" customWidth="1"/>
    <col min="15613" max="15613" width="10.7109375" style="376" customWidth="1"/>
    <col min="15614" max="15614" width="10.42578125" style="376" customWidth="1"/>
    <col min="15615" max="15615" width="10.5703125" style="376" customWidth="1"/>
    <col min="15616" max="15616" width="10.42578125" style="376" customWidth="1"/>
    <col min="15617" max="15619" width="10.5703125" style="376" customWidth="1"/>
    <col min="15620" max="15622" width="10.42578125" style="376" customWidth="1"/>
    <col min="15623" max="15623" width="10.5703125" style="376" customWidth="1"/>
    <col min="15624" max="15624" width="10.28515625" style="376" customWidth="1"/>
    <col min="15625" max="15625" width="10.140625" style="376" customWidth="1"/>
    <col min="15626" max="15626" width="11.7109375" style="376" customWidth="1"/>
    <col min="15627" max="15627" width="12.42578125" style="376" customWidth="1"/>
    <col min="15628" max="15628" width="11.7109375" style="376" customWidth="1"/>
    <col min="15629" max="15629" width="13.140625" style="376" customWidth="1"/>
    <col min="15630" max="15865" width="9.140625" style="376"/>
    <col min="15866" max="15866" width="3.7109375" style="376" customWidth="1"/>
    <col min="15867" max="15867" width="30.42578125" style="376" customWidth="1"/>
    <col min="15868" max="15868" width="7.140625" style="376" customWidth="1"/>
    <col min="15869" max="15869" width="10.7109375" style="376" customWidth="1"/>
    <col min="15870" max="15870" width="10.42578125" style="376" customWidth="1"/>
    <col min="15871" max="15871" width="10.5703125" style="376" customWidth="1"/>
    <col min="15872" max="15872" width="10.42578125" style="376" customWidth="1"/>
    <col min="15873" max="15875" width="10.5703125" style="376" customWidth="1"/>
    <col min="15876" max="15878" width="10.42578125" style="376" customWidth="1"/>
    <col min="15879" max="15879" width="10.5703125" style="376" customWidth="1"/>
    <col min="15880" max="15880" width="10.28515625" style="376" customWidth="1"/>
    <col min="15881" max="15881" width="10.140625" style="376" customWidth="1"/>
    <col min="15882" max="15882" width="11.7109375" style="376" customWidth="1"/>
    <col min="15883" max="15883" width="12.42578125" style="376" customWidth="1"/>
    <col min="15884" max="15884" width="11.7109375" style="376" customWidth="1"/>
    <col min="15885" max="15885" width="13.140625" style="376" customWidth="1"/>
    <col min="15886" max="16121" width="9.140625" style="376"/>
    <col min="16122" max="16122" width="3.7109375" style="376" customWidth="1"/>
    <col min="16123" max="16123" width="30.42578125" style="376" customWidth="1"/>
    <col min="16124" max="16124" width="7.140625" style="376" customWidth="1"/>
    <col min="16125" max="16125" width="10.7109375" style="376" customWidth="1"/>
    <col min="16126" max="16126" width="10.42578125" style="376" customWidth="1"/>
    <col min="16127" max="16127" width="10.5703125" style="376" customWidth="1"/>
    <col min="16128" max="16128" width="10.42578125" style="376" customWidth="1"/>
    <col min="16129" max="16131" width="10.5703125" style="376" customWidth="1"/>
    <col min="16132" max="16134" width="10.42578125" style="376" customWidth="1"/>
    <col min="16135" max="16135" width="10.5703125" style="376" customWidth="1"/>
    <col min="16136" max="16136" width="10.28515625" style="376" customWidth="1"/>
    <col min="16137" max="16137" width="10.140625" style="376" customWidth="1"/>
    <col min="16138" max="16138" width="11.7109375" style="376" customWidth="1"/>
    <col min="16139" max="16139" width="12.42578125" style="376" customWidth="1"/>
    <col min="16140" max="16140" width="11.7109375" style="376" customWidth="1"/>
    <col min="16141" max="16141" width="13.140625" style="376" customWidth="1"/>
    <col min="16142" max="16384" width="9.140625" style="376"/>
  </cols>
  <sheetData>
    <row r="1" spans="1:19" s="423" customFormat="1" ht="23.25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</row>
    <row r="2" spans="1:19" s="423" customFormat="1" ht="18">
      <c r="A2" s="673" t="s">
        <v>214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</row>
    <row r="3" spans="1:19" s="423" customFormat="1" ht="18.75" thickBot="1">
      <c r="A3" s="674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</row>
    <row r="4" spans="1:19" s="430" customFormat="1" ht="33.75" thickTop="1">
      <c r="A4" s="582" t="s">
        <v>1</v>
      </c>
      <c r="B4" s="583" t="s">
        <v>2</v>
      </c>
      <c r="C4" s="584"/>
      <c r="D4" s="585" t="s">
        <v>3</v>
      </c>
      <c r="E4" s="398" t="s">
        <v>4</v>
      </c>
      <c r="F4" s="585" t="s">
        <v>5</v>
      </c>
      <c r="G4" s="585" t="s">
        <v>6</v>
      </c>
      <c r="H4" s="585" t="s">
        <v>7</v>
      </c>
      <c r="I4" s="398" t="s">
        <v>8</v>
      </c>
      <c r="J4" s="398" t="s">
        <v>9</v>
      </c>
      <c r="K4" s="398" t="s">
        <v>10</v>
      </c>
      <c r="L4" s="398" t="s">
        <v>11</v>
      </c>
      <c r="M4" s="398" t="s">
        <v>12</v>
      </c>
      <c r="N4" s="398" t="s">
        <v>13</v>
      </c>
      <c r="O4" s="586" t="s">
        <v>14</v>
      </c>
      <c r="P4" s="398" t="s">
        <v>15</v>
      </c>
      <c r="Q4" s="398" t="s">
        <v>211</v>
      </c>
      <c r="R4" s="398" t="s">
        <v>212</v>
      </c>
      <c r="S4" s="429" t="s">
        <v>213</v>
      </c>
    </row>
    <row r="5" spans="1:19" s="435" customFormat="1" ht="25.5">
      <c r="A5" s="587" t="s">
        <v>16</v>
      </c>
      <c r="B5" s="588" t="s">
        <v>210</v>
      </c>
      <c r="C5" s="589">
        <v>31</v>
      </c>
      <c r="D5" s="399">
        <v>168</v>
      </c>
      <c r="E5" s="399">
        <v>205</v>
      </c>
      <c r="F5" s="399">
        <v>208</v>
      </c>
      <c r="G5" s="399">
        <v>139</v>
      </c>
      <c r="H5" s="399">
        <v>157</v>
      </c>
      <c r="I5" s="399">
        <v>97</v>
      </c>
      <c r="J5" s="399">
        <v>127</v>
      </c>
      <c r="K5" s="399">
        <v>123</v>
      </c>
      <c r="L5" s="399">
        <v>71</v>
      </c>
      <c r="M5" s="399">
        <v>159</v>
      </c>
      <c r="N5" s="399">
        <v>0</v>
      </c>
      <c r="O5" s="399">
        <v>92</v>
      </c>
      <c r="P5" s="399">
        <v>84</v>
      </c>
      <c r="Q5" s="399">
        <f>SUM(D5:P5)</f>
        <v>1630</v>
      </c>
      <c r="R5" s="399">
        <v>1659</v>
      </c>
      <c r="S5" s="434">
        <v>1384</v>
      </c>
    </row>
    <row r="6" spans="1:19" s="438" customFormat="1">
      <c r="A6" s="404"/>
      <c r="B6" s="405" t="s">
        <v>17</v>
      </c>
      <c r="C6" s="590"/>
      <c r="D6" s="399">
        <v>25</v>
      </c>
      <c r="E6" s="399">
        <v>87</v>
      </c>
      <c r="F6" s="399">
        <v>20</v>
      </c>
      <c r="G6" s="399">
        <v>95</v>
      </c>
      <c r="H6" s="399">
        <v>18</v>
      </c>
      <c r="I6" s="399">
        <v>15</v>
      </c>
      <c r="J6" s="399">
        <v>35</v>
      </c>
      <c r="K6" s="399">
        <v>119</v>
      </c>
      <c r="L6" s="399">
        <v>58</v>
      </c>
      <c r="M6" s="399">
        <v>25</v>
      </c>
      <c r="N6" s="399">
        <v>99</v>
      </c>
      <c r="O6" s="399">
        <v>15</v>
      </c>
      <c r="P6" s="399">
        <v>0</v>
      </c>
      <c r="Q6" s="408">
        <f>SUM(D6:P6)</f>
        <v>611</v>
      </c>
      <c r="R6" s="408">
        <v>600</v>
      </c>
      <c r="S6" s="437">
        <v>653</v>
      </c>
    </row>
    <row r="7" spans="1:19" s="444" customFormat="1" ht="15">
      <c r="A7" s="591"/>
      <c r="B7" s="592" t="s">
        <v>18</v>
      </c>
      <c r="C7" s="593"/>
      <c r="D7" s="442">
        <f>SUM(D5:D6)</f>
        <v>193</v>
      </c>
      <c r="E7" s="442">
        <f t="shared" ref="E7:P7" si="0">SUM(E5:E6)</f>
        <v>292</v>
      </c>
      <c r="F7" s="442">
        <f t="shared" si="0"/>
        <v>228</v>
      </c>
      <c r="G7" s="442">
        <f t="shared" si="0"/>
        <v>234</v>
      </c>
      <c r="H7" s="442">
        <f t="shared" si="0"/>
        <v>175</v>
      </c>
      <c r="I7" s="442">
        <f t="shared" si="0"/>
        <v>112</v>
      </c>
      <c r="J7" s="442">
        <f t="shared" si="0"/>
        <v>162</v>
      </c>
      <c r="K7" s="442">
        <f t="shared" si="0"/>
        <v>242</v>
      </c>
      <c r="L7" s="442">
        <f t="shared" si="0"/>
        <v>129</v>
      </c>
      <c r="M7" s="442">
        <f t="shared" si="0"/>
        <v>184</v>
      </c>
      <c r="N7" s="442">
        <f t="shared" si="0"/>
        <v>99</v>
      </c>
      <c r="O7" s="442">
        <f t="shared" si="0"/>
        <v>107</v>
      </c>
      <c r="P7" s="442">
        <f t="shared" si="0"/>
        <v>84</v>
      </c>
      <c r="Q7" s="442">
        <f>SUM(D7:P7)</f>
        <v>2241</v>
      </c>
      <c r="R7" s="442">
        <v>2259</v>
      </c>
      <c r="S7" s="443">
        <v>2037</v>
      </c>
    </row>
    <row r="8" spans="1:19">
      <c r="A8" s="594" t="s">
        <v>19</v>
      </c>
      <c r="B8" s="588" t="s">
        <v>20</v>
      </c>
      <c r="C8" s="595"/>
      <c r="D8" s="399">
        <v>169</v>
      </c>
      <c r="E8" s="399">
        <v>205</v>
      </c>
      <c r="F8" s="399">
        <v>208</v>
      </c>
      <c r="G8" s="399">
        <v>142</v>
      </c>
      <c r="H8" s="399">
        <v>157</v>
      </c>
      <c r="I8" s="399">
        <v>98</v>
      </c>
      <c r="J8" s="399">
        <v>133</v>
      </c>
      <c r="K8" s="399">
        <v>122</v>
      </c>
      <c r="L8" s="399">
        <v>71</v>
      </c>
      <c r="M8" s="399">
        <v>159</v>
      </c>
      <c r="N8" s="399">
        <v>0</v>
      </c>
      <c r="O8" s="399">
        <v>92</v>
      </c>
      <c r="P8" s="399">
        <v>85</v>
      </c>
      <c r="Q8" s="447">
        <f>SUM(D8:P8)</f>
        <v>1641</v>
      </c>
      <c r="R8" s="447">
        <v>1636</v>
      </c>
      <c r="S8" s="448">
        <v>1409</v>
      </c>
    </row>
    <row r="9" spans="1:19">
      <c r="A9" s="404"/>
      <c r="B9" s="405" t="s">
        <v>21</v>
      </c>
      <c r="C9" s="590"/>
      <c r="D9" s="399">
        <f>D6</f>
        <v>25</v>
      </c>
      <c r="E9" s="399">
        <f t="shared" ref="E9:P9" si="1">E6</f>
        <v>87</v>
      </c>
      <c r="F9" s="399">
        <f t="shared" si="1"/>
        <v>20</v>
      </c>
      <c r="G9" s="399">
        <f t="shared" si="1"/>
        <v>95</v>
      </c>
      <c r="H9" s="399">
        <f t="shared" si="1"/>
        <v>18</v>
      </c>
      <c r="I9" s="399">
        <f t="shared" si="1"/>
        <v>15</v>
      </c>
      <c r="J9" s="399">
        <f t="shared" si="1"/>
        <v>35</v>
      </c>
      <c r="K9" s="399">
        <f t="shared" si="1"/>
        <v>119</v>
      </c>
      <c r="L9" s="399">
        <f t="shared" si="1"/>
        <v>58</v>
      </c>
      <c r="M9" s="399">
        <f t="shared" si="1"/>
        <v>25</v>
      </c>
      <c r="N9" s="399">
        <f t="shared" si="1"/>
        <v>99</v>
      </c>
      <c r="O9" s="399">
        <f t="shared" si="1"/>
        <v>15</v>
      </c>
      <c r="P9" s="399">
        <f t="shared" si="1"/>
        <v>0</v>
      </c>
      <c r="Q9" s="399">
        <f>SUM(D9:P9)</f>
        <v>611</v>
      </c>
      <c r="R9" s="399">
        <v>600</v>
      </c>
      <c r="S9" s="449">
        <v>653</v>
      </c>
    </row>
    <row r="10" spans="1:19" s="452" customFormat="1" ht="15">
      <c r="A10" s="591"/>
      <c r="B10" s="592" t="s">
        <v>22</v>
      </c>
      <c r="C10" s="593"/>
      <c r="D10" s="450">
        <f>SUM(D8:D9)</f>
        <v>194</v>
      </c>
      <c r="E10" s="450">
        <f t="shared" ref="E10:P10" si="2">SUM(E8:E9)</f>
        <v>292</v>
      </c>
      <c r="F10" s="450">
        <f t="shared" si="2"/>
        <v>228</v>
      </c>
      <c r="G10" s="450">
        <f t="shared" si="2"/>
        <v>237</v>
      </c>
      <c r="H10" s="450">
        <f t="shared" si="2"/>
        <v>175</v>
      </c>
      <c r="I10" s="450">
        <f t="shared" si="2"/>
        <v>113</v>
      </c>
      <c r="J10" s="450">
        <f t="shared" si="2"/>
        <v>168</v>
      </c>
      <c r="K10" s="450">
        <f t="shared" si="2"/>
        <v>241</v>
      </c>
      <c r="L10" s="450">
        <f t="shared" si="2"/>
        <v>129</v>
      </c>
      <c r="M10" s="450">
        <f t="shared" si="2"/>
        <v>184</v>
      </c>
      <c r="N10" s="450">
        <f t="shared" si="2"/>
        <v>99</v>
      </c>
      <c r="O10" s="450">
        <f t="shared" si="2"/>
        <v>107</v>
      </c>
      <c r="P10" s="450">
        <f t="shared" si="2"/>
        <v>85</v>
      </c>
      <c r="Q10" s="450">
        <f>SUM(Q8:Q9)</f>
        <v>2252</v>
      </c>
      <c r="R10" s="450">
        <v>2236</v>
      </c>
      <c r="S10" s="451">
        <v>2062</v>
      </c>
    </row>
    <row r="11" spans="1:19" s="435" customFormat="1" ht="25.5">
      <c r="A11" s="587" t="s">
        <v>23</v>
      </c>
      <c r="B11" s="588" t="s">
        <v>24</v>
      </c>
      <c r="C11" s="596"/>
      <c r="D11" s="399">
        <v>113</v>
      </c>
      <c r="E11" s="399">
        <v>122</v>
      </c>
      <c r="F11" s="399">
        <v>124</v>
      </c>
      <c r="G11" s="399">
        <v>108</v>
      </c>
      <c r="H11" s="399">
        <v>102</v>
      </c>
      <c r="I11" s="399">
        <v>57</v>
      </c>
      <c r="J11" s="399">
        <v>92</v>
      </c>
      <c r="K11" s="399">
        <v>65</v>
      </c>
      <c r="L11" s="399">
        <v>45</v>
      </c>
      <c r="M11" s="399">
        <v>90</v>
      </c>
      <c r="N11" s="399">
        <v>0</v>
      </c>
      <c r="O11" s="399">
        <v>55</v>
      </c>
      <c r="P11" s="399">
        <v>42</v>
      </c>
      <c r="Q11" s="454">
        <f>SUM(D11:P11)</f>
        <v>1015</v>
      </c>
      <c r="R11" s="454">
        <v>1000</v>
      </c>
      <c r="S11" s="455">
        <v>952</v>
      </c>
    </row>
    <row r="12" spans="1:19" s="438" customFormat="1">
      <c r="A12" s="404"/>
      <c r="B12" s="405" t="s">
        <v>25</v>
      </c>
      <c r="C12" s="590"/>
      <c r="D12" s="399">
        <v>9</v>
      </c>
      <c r="E12" s="399">
        <v>47</v>
      </c>
      <c r="F12" s="399">
        <v>26</v>
      </c>
      <c r="G12" s="399">
        <v>2</v>
      </c>
      <c r="H12" s="399">
        <v>11</v>
      </c>
      <c r="I12" s="399">
        <v>20</v>
      </c>
      <c r="J12" s="399">
        <v>12</v>
      </c>
      <c r="K12" s="399">
        <v>45</v>
      </c>
      <c r="L12" s="399">
        <v>24</v>
      </c>
      <c r="M12" s="399">
        <v>27</v>
      </c>
      <c r="N12" s="399">
        <v>0</v>
      </c>
      <c r="O12" s="399">
        <v>23</v>
      </c>
      <c r="P12" s="399">
        <v>4</v>
      </c>
      <c r="Q12" s="388">
        <f>SUM(D12:P12)</f>
        <v>250</v>
      </c>
      <c r="R12" s="388">
        <v>230</v>
      </c>
      <c r="S12" s="456">
        <v>21</v>
      </c>
    </row>
    <row r="13" spans="1:19" s="438" customFormat="1">
      <c r="A13" s="404"/>
      <c r="B13" s="597" t="s">
        <v>26</v>
      </c>
      <c r="C13" s="590"/>
      <c r="D13" s="388">
        <f>D11+D12</f>
        <v>122</v>
      </c>
      <c r="E13" s="388">
        <f t="shared" ref="E13:Q13" si="3">E11+E12</f>
        <v>169</v>
      </c>
      <c r="F13" s="388">
        <f t="shared" si="3"/>
        <v>150</v>
      </c>
      <c r="G13" s="388">
        <f t="shared" si="3"/>
        <v>110</v>
      </c>
      <c r="H13" s="388">
        <f t="shared" si="3"/>
        <v>113</v>
      </c>
      <c r="I13" s="388">
        <f t="shared" si="3"/>
        <v>77</v>
      </c>
      <c r="J13" s="388">
        <f t="shared" si="3"/>
        <v>104</v>
      </c>
      <c r="K13" s="388">
        <f t="shared" si="3"/>
        <v>110</v>
      </c>
      <c r="L13" s="388">
        <f t="shared" si="3"/>
        <v>69</v>
      </c>
      <c r="M13" s="388">
        <f t="shared" si="3"/>
        <v>117</v>
      </c>
      <c r="N13" s="388">
        <f t="shared" si="3"/>
        <v>0</v>
      </c>
      <c r="O13" s="388">
        <f t="shared" si="3"/>
        <v>78</v>
      </c>
      <c r="P13" s="388">
        <f t="shared" si="3"/>
        <v>46</v>
      </c>
      <c r="Q13" s="388">
        <f t="shared" si="3"/>
        <v>1265</v>
      </c>
      <c r="R13" s="388">
        <v>1230</v>
      </c>
      <c r="S13" s="456">
        <v>973</v>
      </c>
    </row>
    <row r="14" spans="1:19" s="438" customFormat="1">
      <c r="A14" s="598"/>
      <c r="B14" s="599" t="s">
        <v>27</v>
      </c>
      <c r="C14" s="600"/>
      <c r="D14" s="461">
        <f t="shared" ref="D14:Q14" si="4">D12/D8*100</f>
        <v>5.3254437869822491</v>
      </c>
      <c r="E14" s="461">
        <f t="shared" si="4"/>
        <v>22.926829268292686</v>
      </c>
      <c r="F14" s="461">
        <f t="shared" si="4"/>
        <v>12.5</v>
      </c>
      <c r="G14" s="461">
        <f t="shared" si="4"/>
        <v>1.4084507042253522</v>
      </c>
      <c r="H14" s="461">
        <f t="shared" si="4"/>
        <v>7.0063694267515926</v>
      </c>
      <c r="I14" s="461">
        <f t="shared" si="4"/>
        <v>20.408163265306122</v>
      </c>
      <c r="J14" s="461">
        <f t="shared" si="4"/>
        <v>9.0225563909774422</v>
      </c>
      <c r="K14" s="461">
        <f t="shared" si="4"/>
        <v>36.885245901639344</v>
      </c>
      <c r="L14" s="461">
        <f t="shared" si="4"/>
        <v>33.802816901408448</v>
      </c>
      <c r="M14" s="461">
        <f t="shared" si="4"/>
        <v>16.981132075471699</v>
      </c>
      <c r="N14" s="461" t="e">
        <f t="shared" si="4"/>
        <v>#DIV/0!</v>
      </c>
      <c r="O14" s="461">
        <f t="shared" si="4"/>
        <v>25</v>
      </c>
      <c r="P14" s="461">
        <f t="shared" si="4"/>
        <v>4.7058823529411766</v>
      </c>
      <c r="Q14" s="461">
        <f t="shared" si="4"/>
        <v>15.234613040828762</v>
      </c>
      <c r="R14" s="461">
        <v>14.058679706601469</v>
      </c>
      <c r="S14" s="462">
        <v>1.49</v>
      </c>
    </row>
    <row r="15" spans="1:19" s="438" customFormat="1">
      <c r="A15" s="594" t="s">
        <v>28</v>
      </c>
      <c r="B15" s="597" t="s">
        <v>29</v>
      </c>
      <c r="C15" s="595"/>
      <c r="D15" s="399">
        <f>D11</f>
        <v>113</v>
      </c>
      <c r="E15" s="399">
        <f t="shared" ref="E15:P15" si="5">E11</f>
        <v>122</v>
      </c>
      <c r="F15" s="399">
        <f t="shared" si="5"/>
        <v>124</v>
      </c>
      <c r="G15" s="399">
        <f t="shared" si="5"/>
        <v>108</v>
      </c>
      <c r="H15" s="399">
        <f t="shared" si="5"/>
        <v>102</v>
      </c>
      <c r="I15" s="399">
        <f t="shared" si="5"/>
        <v>57</v>
      </c>
      <c r="J15" s="399">
        <f t="shared" si="5"/>
        <v>92</v>
      </c>
      <c r="K15" s="399">
        <f t="shared" si="5"/>
        <v>65</v>
      </c>
      <c r="L15" s="400">
        <f t="shared" si="5"/>
        <v>45</v>
      </c>
      <c r="M15" s="399">
        <f t="shared" si="5"/>
        <v>90</v>
      </c>
      <c r="N15" s="399">
        <f t="shared" si="5"/>
        <v>0</v>
      </c>
      <c r="O15" s="399">
        <f t="shared" si="5"/>
        <v>55</v>
      </c>
      <c r="P15" s="399">
        <f t="shared" si="5"/>
        <v>42</v>
      </c>
      <c r="Q15" s="463">
        <f>SUM(D15:P15)</f>
        <v>1015</v>
      </c>
      <c r="R15" s="463">
        <v>1000</v>
      </c>
      <c r="S15" s="464">
        <v>952</v>
      </c>
    </row>
    <row r="16" spans="1:19" s="438" customFormat="1">
      <c r="A16" s="404"/>
      <c r="B16" s="405" t="s">
        <v>21</v>
      </c>
      <c r="C16" s="590"/>
      <c r="D16" s="399">
        <v>16</v>
      </c>
      <c r="E16" s="399">
        <v>61</v>
      </c>
      <c r="F16" s="399">
        <v>11</v>
      </c>
      <c r="G16" s="399">
        <v>75</v>
      </c>
      <c r="H16" s="399">
        <v>11</v>
      </c>
      <c r="I16" s="399">
        <v>10</v>
      </c>
      <c r="J16" s="399">
        <v>24</v>
      </c>
      <c r="K16" s="399">
        <v>88</v>
      </c>
      <c r="L16" s="399">
        <v>51</v>
      </c>
      <c r="M16" s="399">
        <v>15</v>
      </c>
      <c r="N16" s="399">
        <v>82</v>
      </c>
      <c r="O16" s="399">
        <v>7</v>
      </c>
      <c r="P16" s="399">
        <v>0</v>
      </c>
      <c r="Q16" s="388">
        <f>SUM(D16:P16)</f>
        <v>451</v>
      </c>
      <c r="R16" s="388">
        <v>441</v>
      </c>
      <c r="S16" s="456">
        <v>429</v>
      </c>
    </row>
    <row r="17" spans="1:19" s="444" customFormat="1" ht="15">
      <c r="A17" s="591"/>
      <c r="B17" s="601" t="s">
        <v>30</v>
      </c>
      <c r="C17" s="593"/>
      <c r="D17" s="450">
        <f t="shared" ref="D17:Q17" si="6">SUM(D15:D16)</f>
        <v>129</v>
      </c>
      <c r="E17" s="450">
        <f t="shared" si="6"/>
        <v>183</v>
      </c>
      <c r="F17" s="450">
        <f t="shared" si="6"/>
        <v>135</v>
      </c>
      <c r="G17" s="450">
        <f t="shared" si="6"/>
        <v>183</v>
      </c>
      <c r="H17" s="450">
        <f t="shared" si="6"/>
        <v>113</v>
      </c>
      <c r="I17" s="450">
        <f t="shared" si="6"/>
        <v>67</v>
      </c>
      <c r="J17" s="450">
        <f t="shared" si="6"/>
        <v>116</v>
      </c>
      <c r="K17" s="450">
        <f t="shared" si="6"/>
        <v>153</v>
      </c>
      <c r="L17" s="450">
        <f t="shared" si="6"/>
        <v>96</v>
      </c>
      <c r="M17" s="450">
        <f t="shared" si="6"/>
        <v>105</v>
      </c>
      <c r="N17" s="450">
        <f t="shared" si="6"/>
        <v>82</v>
      </c>
      <c r="O17" s="450">
        <f t="shared" si="6"/>
        <v>62</v>
      </c>
      <c r="P17" s="450">
        <f t="shared" si="6"/>
        <v>42</v>
      </c>
      <c r="Q17" s="450">
        <f t="shared" si="6"/>
        <v>1466</v>
      </c>
      <c r="R17" s="450">
        <v>1441</v>
      </c>
      <c r="S17" s="451">
        <v>1381</v>
      </c>
    </row>
    <row r="18" spans="1:19" s="435" customFormat="1" ht="25.5">
      <c r="A18" s="587">
        <v>3</v>
      </c>
      <c r="B18" s="588" t="s">
        <v>31</v>
      </c>
      <c r="C18" s="596"/>
      <c r="D18" s="408">
        <f>D8-D11</f>
        <v>56</v>
      </c>
      <c r="E18" s="408">
        <f t="shared" ref="E18:Q18" si="7">E8-E11</f>
        <v>83</v>
      </c>
      <c r="F18" s="408">
        <f t="shared" si="7"/>
        <v>84</v>
      </c>
      <c r="G18" s="408">
        <f t="shared" si="7"/>
        <v>34</v>
      </c>
      <c r="H18" s="408">
        <f t="shared" si="7"/>
        <v>55</v>
      </c>
      <c r="I18" s="408">
        <f t="shared" si="7"/>
        <v>41</v>
      </c>
      <c r="J18" s="408">
        <f t="shared" si="7"/>
        <v>41</v>
      </c>
      <c r="K18" s="408">
        <f t="shared" si="7"/>
        <v>57</v>
      </c>
      <c r="L18" s="408">
        <f t="shared" si="7"/>
        <v>26</v>
      </c>
      <c r="M18" s="408">
        <f t="shared" si="7"/>
        <v>69</v>
      </c>
      <c r="N18" s="408">
        <f t="shared" si="7"/>
        <v>0</v>
      </c>
      <c r="O18" s="408">
        <f t="shared" si="7"/>
        <v>37</v>
      </c>
      <c r="P18" s="408">
        <f t="shared" si="7"/>
        <v>43</v>
      </c>
      <c r="Q18" s="408">
        <f t="shared" si="7"/>
        <v>626</v>
      </c>
      <c r="R18" s="408">
        <v>636</v>
      </c>
      <c r="S18" s="437">
        <v>457</v>
      </c>
    </row>
    <row r="19" spans="1:19" s="438" customFormat="1">
      <c r="A19" s="404"/>
      <c r="B19" s="405" t="s">
        <v>21</v>
      </c>
      <c r="C19" s="590"/>
      <c r="D19" s="466">
        <f t="shared" ref="D19:Q19" si="8">D6-D16</f>
        <v>9</v>
      </c>
      <c r="E19" s="466">
        <f t="shared" si="8"/>
        <v>26</v>
      </c>
      <c r="F19" s="466">
        <f t="shared" si="8"/>
        <v>9</v>
      </c>
      <c r="G19" s="466">
        <f t="shared" si="8"/>
        <v>20</v>
      </c>
      <c r="H19" s="466">
        <f t="shared" si="8"/>
        <v>7</v>
      </c>
      <c r="I19" s="466">
        <f t="shared" si="8"/>
        <v>5</v>
      </c>
      <c r="J19" s="466">
        <f t="shared" si="8"/>
        <v>11</v>
      </c>
      <c r="K19" s="466">
        <f t="shared" si="8"/>
        <v>31</v>
      </c>
      <c r="L19" s="466">
        <f t="shared" si="8"/>
        <v>7</v>
      </c>
      <c r="M19" s="466">
        <f t="shared" si="8"/>
        <v>10</v>
      </c>
      <c r="N19" s="466">
        <f t="shared" si="8"/>
        <v>17</v>
      </c>
      <c r="O19" s="466">
        <f t="shared" si="8"/>
        <v>8</v>
      </c>
      <c r="P19" s="466">
        <f t="shared" si="8"/>
        <v>0</v>
      </c>
      <c r="Q19" s="466">
        <f t="shared" si="8"/>
        <v>160</v>
      </c>
      <c r="R19" s="466">
        <v>159</v>
      </c>
      <c r="S19" s="437">
        <v>224</v>
      </c>
    </row>
    <row r="20" spans="1:19" s="438" customFormat="1">
      <c r="A20" s="404"/>
      <c r="B20" s="602" t="s">
        <v>32</v>
      </c>
      <c r="C20" s="590"/>
      <c r="D20" s="388">
        <f t="shared" ref="D20:P20" si="9">SUM(D18:D19)</f>
        <v>65</v>
      </c>
      <c r="E20" s="388">
        <f t="shared" si="9"/>
        <v>109</v>
      </c>
      <c r="F20" s="388">
        <f t="shared" si="9"/>
        <v>93</v>
      </c>
      <c r="G20" s="388">
        <f t="shared" si="9"/>
        <v>54</v>
      </c>
      <c r="H20" s="388">
        <f t="shared" si="9"/>
        <v>62</v>
      </c>
      <c r="I20" s="388">
        <f>SUM(I18:I19)</f>
        <v>46</v>
      </c>
      <c r="J20" s="388">
        <f>SUM(J18:J19)</f>
        <v>52</v>
      </c>
      <c r="K20" s="388">
        <f t="shared" si="9"/>
        <v>88</v>
      </c>
      <c r="L20" s="388">
        <f t="shared" si="9"/>
        <v>33</v>
      </c>
      <c r="M20" s="388">
        <f>SUM(M18:M19)</f>
        <v>79</v>
      </c>
      <c r="N20" s="388">
        <f t="shared" si="9"/>
        <v>17</v>
      </c>
      <c r="O20" s="388">
        <f t="shared" si="9"/>
        <v>45</v>
      </c>
      <c r="P20" s="388">
        <f t="shared" si="9"/>
        <v>43</v>
      </c>
      <c r="Q20" s="388">
        <f>SUM(D20:P20)</f>
        <v>786</v>
      </c>
      <c r="R20" s="388">
        <v>795</v>
      </c>
      <c r="S20" s="456">
        <v>681</v>
      </c>
    </row>
    <row r="21" spans="1:19" s="438" customFormat="1" ht="25.5">
      <c r="A21" s="404"/>
      <c r="B21" s="405" t="s">
        <v>33</v>
      </c>
      <c r="C21" s="590"/>
      <c r="D21" s="399">
        <v>47</v>
      </c>
      <c r="E21" s="399">
        <v>36</v>
      </c>
      <c r="F21" s="399">
        <v>58</v>
      </c>
      <c r="G21" s="399">
        <v>32</v>
      </c>
      <c r="H21" s="399">
        <v>43</v>
      </c>
      <c r="I21" s="399">
        <v>22</v>
      </c>
      <c r="J21" s="399">
        <v>29</v>
      </c>
      <c r="K21" s="399">
        <v>12</v>
      </c>
      <c r="L21" s="399">
        <v>2</v>
      </c>
      <c r="M21" s="399">
        <v>41</v>
      </c>
      <c r="N21" s="399">
        <v>0</v>
      </c>
      <c r="O21" s="399">
        <v>15</v>
      </c>
      <c r="P21" s="399">
        <v>39</v>
      </c>
      <c r="Q21" s="388">
        <f>SUM(D21:P21)</f>
        <v>376</v>
      </c>
      <c r="R21" s="388">
        <v>407</v>
      </c>
      <c r="S21" s="456">
        <v>436</v>
      </c>
    </row>
    <row r="22" spans="1:19" s="435" customFormat="1">
      <c r="A22" s="603"/>
      <c r="B22" s="604" t="s">
        <v>34</v>
      </c>
      <c r="C22" s="605"/>
      <c r="D22" s="461">
        <f t="shared" ref="D22:Q22" si="10">SUM(D21/D8*100)</f>
        <v>27.810650887573964</v>
      </c>
      <c r="E22" s="461">
        <f t="shared" si="10"/>
        <v>17.560975609756095</v>
      </c>
      <c r="F22" s="461">
        <f t="shared" si="10"/>
        <v>27.884615384615387</v>
      </c>
      <c r="G22" s="461">
        <f t="shared" si="10"/>
        <v>22.535211267605636</v>
      </c>
      <c r="H22" s="461">
        <f t="shared" si="10"/>
        <v>27.388535031847134</v>
      </c>
      <c r="I22" s="461">
        <f t="shared" si="10"/>
        <v>22.448979591836736</v>
      </c>
      <c r="J22" s="461">
        <f t="shared" si="10"/>
        <v>21.804511278195488</v>
      </c>
      <c r="K22" s="461">
        <f t="shared" si="10"/>
        <v>9.8360655737704921</v>
      </c>
      <c r="L22" s="461">
        <f t="shared" si="10"/>
        <v>2.8169014084507045</v>
      </c>
      <c r="M22" s="461">
        <f t="shared" si="10"/>
        <v>25.786163522012579</v>
      </c>
      <c r="N22" s="461" t="e">
        <f t="shared" si="10"/>
        <v>#DIV/0!</v>
      </c>
      <c r="O22" s="461">
        <f t="shared" si="10"/>
        <v>16.304347826086957</v>
      </c>
      <c r="P22" s="461">
        <f t="shared" si="10"/>
        <v>45.882352941176471</v>
      </c>
      <c r="Q22" s="461">
        <f t="shared" si="10"/>
        <v>22.91285801340646</v>
      </c>
      <c r="R22" s="461">
        <v>24.877750611246942</v>
      </c>
      <c r="S22" s="462">
        <v>30.94</v>
      </c>
    </row>
    <row r="23" spans="1:19" s="473" customFormat="1" ht="25.5">
      <c r="A23" s="587">
        <v>4</v>
      </c>
      <c r="B23" s="588" t="s">
        <v>207</v>
      </c>
      <c r="C23" s="606"/>
      <c r="D23" s="454">
        <f>D25-D24</f>
        <v>135.5</v>
      </c>
      <c r="E23" s="454">
        <f t="shared" ref="E23:Q23" si="11">E25-E24</f>
        <v>134.69999999999999</v>
      </c>
      <c r="F23" s="454">
        <f t="shared" si="11"/>
        <v>143</v>
      </c>
      <c r="G23" s="454">
        <f t="shared" si="11"/>
        <v>124.5</v>
      </c>
      <c r="H23" s="454">
        <f t="shared" si="11"/>
        <v>112.8</v>
      </c>
      <c r="I23" s="454">
        <f t="shared" si="11"/>
        <v>69.5</v>
      </c>
      <c r="J23" s="454">
        <f t="shared" si="11"/>
        <v>94.5</v>
      </c>
      <c r="K23" s="454">
        <f t="shared" si="11"/>
        <v>77.900000000000006</v>
      </c>
      <c r="L23" s="454">
        <f t="shared" si="11"/>
        <v>48.8</v>
      </c>
      <c r="M23" s="454">
        <f t="shared" si="11"/>
        <v>101.5</v>
      </c>
      <c r="N23" s="454">
        <f t="shared" si="11"/>
        <v>0</v>
      </c>
      <c r="O23" s="454">
        <f t="shared" si="11"/>
        <v>52.5</v>
      </c>
      <c r="P23" s="454">
        <f t="shared" si="11"/>
        <v>43</v>
      </c>
      <c r="Q23" s="454">
        <f t="shared" si="11"/>
        <v>1136.0999999999999</v>
      </c>
      <c r="R23" s="399">
        <f t="shared" ref="R23:S23" si="12">R25-R24</f>
        <v>1150</v>
      </c>
      <c r="S23" s="448">
        <f t="shared" si="12"/>
        <v>1098.3</v>
      </c>
    </row>
    <row r="24" spans="1:19" s="473" customFormat="1">
      <c r="A24" s="587"/>
      <c r="B24" s="588" t="s">
        <v>208</v>
      </c>
      <c r="C24" s="606"/>
      <c r="D24" s="454">
        <f>D9*90/100</f>
        <v>22.5</v>
      </c>
      <c r="E24" s="454">
        <f t="shared" ref="E24:P24" si="13">E9*90/100</f>
        <v>78.3</v>
      </c>
      <c r="F24" s="454">
        <f t="shared" si="13"/>
        <v>18</v>
      </c>
      <c r="G24" s="454">
        <f t="shared" si="13"/>
        <v>85.5</v>
      </c>
      <c r="H24" s="454">
        <f t="shared" si="13"/>
        <v>16.2</v>
      </c>
      <c r="I24" s="454">
        <f t="shared" si="13"/>
        <v>13.5</v>
      </c>
      <c r="J24" s="454">
        <f t="shared" si="13"/>
        <v>31.5</v>
      </c>
      <c r="K24" s="454">
        <f t="shared" si="13"/>
        <v>107.1</v>
      </c>
      <c r="L24" s="454">
        <f t="shared" si="13"/>
        <v>52.2</v>
      </c>
      <c r="M24" s="454">
        <f t="shared" si="13"/>
        <v>22.5</v>
      </c>
      <c r="N24" s="454">
        <v>88</v>
      </c>
      <c r="O24" s="454">
        <f t="shared" si="13"/>
        <v>13.5</v>
      </c>
      <c r="P24" s="454">
        <f t="shared" si="13"/>
        <v>0</v>
      </c>
      <c r="Q24" s="454">
        <f>Q9*90/100+1</f>
        <v>550.9</v>
      </c>
      <c r="R24" s="399">
        <f t="shared" ref="R24:S24" si="14">R9*90/100+1</f>
        <v>541</v>
      </c>
      <c r="S24" s="455">
        <f t="shared" si="14"/>
        <v>588.70000000000005</v>
      </c>
    </row>
    <row r="25" spans="1:19" s="473" customFormat="1">
      <c r="A25" s="587"/>
      <c r="B25" s="588" t="s">
        <v>22</v>
      </c>
      <c r="C25" s="606"/>
      <c r="D25" s="399">
        <v>158</v>
      </c>
      <c r="E25" s="399">
        <v>213</v>
      </c>
      <c r="F25" s="399">
        <v>161</v>
      </c>
      <c r="G25" s="399">
        <v>210</v>
      </c>
      <c r="H25" s="399">
        <v>129</v>
      </c>
      <c r="I25" s="399">
        <v>83</v>
      </c>
      <c r="J25" s="399">
        <v>126</v>
      </c>
      <c r="K25" s="399">
        <v>185</v>
      </c>
      <c r="L25" s="399">
        <v>101</v>
      </c>
      <c r="M25" s="399">
        <v>124</v>
      </c>
      <c r="N25" s="399">
        <v>88</v>
      </c>
      <c r="O25" s="399">
        <v>66</v>
      </c>
      <c r="P25" s="399">
        <v>43</v>
      </c>
      <c r="Q25" s="399">
        <f>SUM(D25:P25)</f>
        <v>1687</v>
      </c>
      <c r="R25" s="399">
        <v>1691</v>
      </c>
      <c r="S25" s="449">
        <v>1687</v>
      </c>
    </row>
    <row r="26" spans="1:19" s="435" customFormat="1" ht="38.25">
      <c r="A26" s="587">
        <v>5</v>
      </c>
      <c r="B26" s="588" t="s">
        <v>174</v>
      </c>
      <c r="C26" s="596"/>
      <c r="D26" s="399">
        <v>112</v>
      </c>
      <c r="E26" s="399">
        <v>112</v>
      </c>
      <c r="F26" s="399">
        <v>124</v>
      </c>
      <c r="G26" s="399">
        <v>105</v>
      </c>
      <c r="H26" s="399">
        <v>100</v>
      </c>
      <c r="I26" s="399">
        <v>57</v>
      </c>
      <c r="J26" s="399">
        <v>92</v>
      </c>
      <c r="K26" s="399">
        <v>64</v>
      </c>
      <c r="L26" s="399">
        <v>45</v>
      </c>
      <c r="M26" s="399">
        <v>90</v>
      </c>
      <c r="N26" s="399">
        <v>0</v>
      </c>
      <c r="O26" s="399">
        <v>55</v>
      </c>
      <c r="P26" s="399">
        <v>42</v>
      </c>
      <c r="Q26" s="463">
        <f t="shared" ref="Q26:Q31" si="15">SUM(D26:P26)</f>
        <v>998</v>
      </c>
      <c r="R26" s="463">
        <v>968</v>
      </c>
      <c r="S26" s="464">
        <v>942</v>
      </c>
    </row>
    <row r="27" spans="1:19" s="438" customFormat="1">
      <c r="A27" s="404"/>
      <c r="B27" s="405" t="s">
        <v>37</v>
      </c>
      <c r="C27" s="590"/>
      <c r="D27" s="399">
        <v>16</v>
      </c>
      <c r="E27" s="399">
        <v>61</v>
      </c>
      <c r="F27" s="399">
        <v>11</v>
      </c>
      <c r="G27" s="399">
        <v>75</v>
      </c>
      <c r="H27" s="399">
        <v>11</v>
      </c>
      <c r="I27" s="399">
        <v>10</v>
      </c>
      <c r="J27" s="399">
        <v>24</v>
      </c>
      <c r="K27" s="399">
        <v>88</v>
      </c>
      <c r="L27" s="399">
        <v>51</v>
      </c>
      <c r="M27" s="399">
        <v>15</v>
      </c>
      <c r="N27" s="399">
        <v>82</v>
      </c>
      <c r="O27" s="399">
        <v>7</v>
      </c>
      <c r="P27" s="399">
        <v>0</v>
      </c>
      <c r="Q27" s="463">
        <f t="shared" si="15"/>
        <v>451</v>
      </c>
      <c r="R27" s="463">
        <v>441</v>
      </c>
      <c r="S27" s="456">
        <v>428</v>
      </c>
    </row>
    <row r="28" spans="1:19" s="438" customFormat="1">
      <c r="A28" s="598"/>
      <c r="B28" s="599" t="s">
        <v>38</v>
      </c>
      <c r="C28" s="600"/>
      <c r="D28" s="475">
        <f t="shared" ref="D28:P28" si="16">SUM(D26:D27)</f>
        <v>128</v>
      </c>
      <c r="E28" s="475">
        <f t="shared" si="16"/>
        <v>173</v>
      </c>
      <c r="F28" s="475">
        <f t="shared" si="16"/>
        <v>135</v>
      </c>
      <c r="G28" s="475">
        <f t="shared" si="16"/>
        <v>180</v>
      </c>
      <c r="H28" s="475">
        <f t="shared" si="16"/>
        <v>111</v>
      </c>
      <c r="I28" s="475">
        <f>SUM(I26:I27)</f>
        <v>67</v>
      </c>
      <c r="J28" s="475">
        <f>SUM(J26:J27)</f>
        <v>116</v>
      </c>
      <c r="K28" s="475">
        <f t="shared" si="16"/>
        <v>152</v>
      </c>
      <c r="L28" s="475">
        <f t="shared" si="16"/>
        <v>96</v>
      </c>
      <c r="M28" s="475">
        <f>SUM(M26:M27)</f>
        <v>105</v>
      </c>
      <c r="N28" s="475">
        <f t="shared" si="16"/>
        <v>82</v>
      </c>
      <c r="O28" s="475">
        <f t="shared" si="16"/>
        <v>62</v>
      </c>
      <c r="P28" s="475">
        <f t="shared" si="16"/>
        <v>42</v>
      </c>
      <c r="Q28" s="475">
        <f t="shared" si="15"/>
        <v>1449</v>
      </c>
      <c r="R28" s="475">
        <v>1409</v>
      </c>
      <c r="S28" s="476">
        <v>1370</v>
      </c>
    </row>
    <row r="29" spans="1:19" s="444" customFormat="1" ht="15" thickBot="1">
      <c r="A29" s="607">
        <v>6</v>
      </c>
      <c r="B29" s="608" t="s">
        <v>39</v>
      </c>
      <c r="C29" s="609"/>
      <c r="D29" s="610">
        <v>1016440.4</v>
      </c>
      <c r="E29" s="610">
        <v>1518110.3</v>
      </c>
      <c r="F29" s="610">
        <v>951991.4</v>
      </c>
      <c r="G29" s="610">
        <v>1266805.7</v>
      </c>
      <c r="H29" s="610">
        <v>943568.70000000007</v>
      </c>
      <c r="I29" s="610">
        <v>486749.60000000003</v>
      </c>
      <c r="J29" s="610">
        <v>764156.20000000007</v>
      </c>
      <c r="K29" s="610">
        <v>1435569.7</v>
      </c>
      <c r="L29" s="610">
        <v>847657.79999999993</v>
      </c>
      <c r="M29" s="610">
        <v>956238.4</v>
      </c>
      <c r="N29" s="610">
        <v>645571.9</v>
      </c>
      <c r="O29" s="610">
        <v>453864.8</v>
      </c>
      <c r="P29" s="610">
        <v>288486</v>
      </c>
      <c r="Q29" s="480">
        <v>11575210.9</v>
      </c>
      <c r="R29" s="480">
        <v>11260444.5</v>
      </c>
      <c r="S29" s="482">
        <v>11993495</v>
      </c>
    </row>
    <row r="30" spans="1:19" s="438" customFormat="1" ht="15" thickTop="1">
      <c r="A30" s="594">
        <v>7</v>
      </c>
      <c r="B30" s="588" t="s">
        <v>40</v>
      </c>
      <c r="C30" s="595"/>
      <c r="D30" s="399">
        <v>397233</v>
      </c>
      <c r="E30" s="399">
        <v>50953</v>
      </c>
      <c r="F30" s="399">
        <v>351292</v>
      </c>
      <c r="G30" s="399">
        <f>325391+11282</f>
        <v>336673</v>
      </c>
      <c r="H30" s="399">
        <v>368246</v>
      </c>
      <c r="I30" s="399">
        <v>230893</v>
      </c>
      <c r="J30" s="399">
        <v>393354</v>
      </c>
      <c r="K30" s="399">
        <v>238019</v>
      </c>
      <c r="L30" s="399">
        <v>2608</v>
      </c>
      <c r="M30" s="399">
        <v>94703</v>
      </c>
      <c r="N30" s="399">
        <v>0</v>
      </c>
      <c r="O30" s="399">
        <v>45833</v>
      </c>
      <c r="P30" s="399">
        <v>63801</v>
      </c>
      <c r="Q30" s="400">
        <f t="shared" si="15"/>
        <v>2573608</v>
      </c>
      <c r="R30" s="400">
        <v>2469338</v>
      </c>
      <c r="S30" s="483">
        <v>3985144</v>
      </c>
    </row>
    <row r="31" spans="1:19" s="438" customFormat="1">
      <c r="A31" s="404"/>
      <c r="B31" s="405" t="s">
        <v>41</v>
      </c>
      <c r="C31" s="590"/>
      <c r="D31" s="399">
        <v>316540</v>
      </c>
      <c r="E31" s="399">
        <v>826276</v>
      </c>
      <c r="F31" s="399">
        <v>369425</v>
      </c>
      <c r="G31" s="399">
        <v>282257</v>
      </c>
      <c r="H31" s="399">
        <v>348805</v>
      </c>
      <c r="I31" s="399">
        <v>134460</v>
      </c>
      <c r="J31" s="399">
        <v>125715</v>
      </c>
      <c r="K31" s="399">
        <v>224500</v>
      </c>
      <c r="L31" s="399">
        <v>356840</v>
      </c>
      <c r="M31" s="399">
        <v>581496</v>
      </c>
      <c r="N31" s="399">
        <v>0</v>
      </c>
      <c r="O31" s="399">
        <v>309553</v>
      </c>
      <c r="P31" s="399">
        <v>212633</v>
      </c>
      <c r="Q31" s="400">
        <f t="shared" si="15"/>
        <v>4088500</v>
      </c>
      <c r="R31" s="400">
        <v>3778865</v>
      </c>
      <c r="S31" s="483">
        <v>2197590</v>
      </c>
    </row>
    <row r="32" spans="1:19" s="438" customFormat="1" ht="25.5">
      <c r="A32" s="404"/>
      <c r="B32" s="405" t="s">
        <v>42</v>
      </c>
      <c r="C32" s="590"/>
      <c r="D32" s="399">
        <f t="shared" ref="D32:Q32" si="17">SUM(D30:D31)</f>
        <v>713773</v>
      </c>
      <c r="E32" s="399">
        <f t="shared" si="17"/>
        <v>877229</v>
      </c>
      <c r="F32" s="399">
        <f t="shared" si="17"/>
        <v>720717</v>
      </c>
      <c r="G32" s="399">
        <f t="shared" si="17"/>
        <v>618930</v>
      </c>
      <c r="H32" s="399">
        <f t="shared" si="17"/>
        <v>717051</v>
      </c>
      <c r="I32" s="399">
        <f t="shared" si="17"/>
        <v>365353</v>
      </c>
      <c r="J32" s="399">
        <f t="shared" si="17"/>
        <v>519069</v>
      </c>
      <c r="K32" s="399">
        <f t="shared" si="17"/>
        <v>462519</v>
      </c>
      <c r="L32" s="399">
        <f t="shared" si="17"/>
        <v>359448</v>
      </c>
      <c r="M32" s="399">
        <f t="shared" si="17"/>
        <v>676199</v>
      </c>
      <c r="N32" s="399">
        <f t="shared" si="17"/>
        <v>0</v>
      </c>
      <c r="O32" s="399">
        <f t="shared" si="17"/>
        <v>355386</v>
      </c>
      <c r="P32" s="399">
        <f t="shared" si="17"/>
        <v>276434</v>
      </c>
      <c r="Q32" s="401">
        <f t="shared" si="17"/>
        <v>6662108</v>
      </c>
      <c r="R32" s="401">
        <v>6248203</v>
      </c>
      <c r="S32" s="484">
        <v>6182734</v>
      </c>
    </row>
    <row r="33" spans="1:19" s="438" customFormat="1">
      <c r="A33" s="611"/>
      <c r="B33" s="405" t="s">
        <v>43</v>
      </c>
      <c r="C33" s="590"/>
      <c r="D33" s="399">
        <f>22587+82243</f>
        <v>104830</v>
      </c>
      <c r="E33" s="399">
        <v>333232</v>
      </c>
      <c r="F33" s="399">
        <v>62719</v>
      </c>
      <c r="G33" s="399">
        <f>301813+184426</f>
        <v>486239</v>
      </c>
      <c r="H33" s="399">
        <v>68410</v>
      </c>
      <c r="I33" s="399">
        <v>51303</v>
      </c>
      <c r="J33" s="399">
        <v>154523</v>
      </c>
      <c r="K33" s="399">
        <f>195753+178214</f>
        <v>373967</v>
      </c>
      <c r="L33" s="399">
        <f>418850+11519</f>
        <v>430369</v>
      </c>
      <c r="M33" s="399">
        <f>91687+19432</f>
        <v>111119</v>
      </c>
      <c r="N33" s="399">
        <v>42693</v>
      </c>
      <c r="O33" s="399">
        <v>40176</v>
      </c>
      <c r="P33" s="399">
        <v>0</v>
      </c>
      <c r="Q33" s="463">
        <f>SUM(D33:P33)</f>
        <v>2259580</v>
      </c>
      <c r="R33" s="463">
        <v>2190184</v>
      </c>
      <c r="S33" s="464">
        <v>2702248</v>
      </c>
    </row>
    <row r="34" spans="1:19" s="438" customFormat="1">
      <c r="A34" s="611"/>
      <c r="B34" s="405" t="s">
        <v>153</v>
      </c>
      <c r="C34" s="590"/>
      <c r="D34" s="399"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f>72055+227751</f>
        <v>299806</v>
      </c>
      <c r="L34" s="399">
        <v>0</v>
      </c>
      <c r="M34" s="399">
        <v>0</v>
      </c>
      <c r="N34" s="399">
        <f>284878+228977</f>
        <v>513855</v>
      </c>
      <c r="O34" s="399">
        <v>0</v>
      </c>
      <c r="P34" s="399">
        <v>0</v>
      </c>
      <c r="Q34" s="463">
        <f>SUM(D34:P34)</f>
        <v>813661</v>
      </c>
      <c r="R34" s="463">
        <v>642398</v>
      </c>
      <c r="S34" s="486">
        <v>0</v>
      </c>
    </row>
    <row r="35" spans="1:19" s="438" customFormat="1">
      <c r="A35" s="611"/>
      <c r="B35" s="405" t="s">
        <v>150</v>
      </c>
      <c r="C35" s="590"/>
      <c r="D35" s="399">
        <f>SUM(D33:D34)</f>
        <v>104830</v>
      </c>
      <c r="E35" s="399">
        <f t="shared" ref="E35:Q35" si="18">SUM(E33:E34)</f>
        <v>333232</v>
      </c>
      <c r="F35" s="399">
        <f t="shared" si="18"/>
        <v>62719</v>
      </c>
      <c r="G35" s="399">
        <f t="shared" si="18"/>
        <v>486239</v>
      </c>
      <c r="H35" s="399">
        <f t="shared" si="18"/>
        <v>68410</v>
      </c>
      <c r="I35" s="399">
        <f t="shared" si="18"/>
        <v>51303</v>
      </c>
      <c r="J35" s="399">
        <f t="shared" si="18"/>
        <v>154523</v>
      </c>
      <c r="K35" s="399">
        <f t="shared" si="18"/>
        <v>673773</v>
      </c>
      <c r="L35" s="399">
        <f t="shared" si="18"/>
        <v>430369</v>
      </c>
      <c r="M35" s="399">
        <f t="shared" si="18"/>
        <v>111119</v>
      </c>
      <c r="N35" s="399">
        <f t="shared" si="18"/>
        <v>556548</v>
      </c>
      <c r="O35" s="399">
        <f t="shared" si="18"/>
        <v>40176</v>
      </c>
      <c r="P35" s="399">
        <f t="shared" si="18"/>
        <v>0</v>
      </c>
      <c r="Q35" s="399">
        <f t="shared" si="18"/>
        <v>3073241</v>
      </c>
      <c r="R35" s="399">
        <v>2832582</v>
      </c>
      <c r="S35" s="486">
        <v>2702248</v>
      </c>
    </row>
    <row r="36" spans="1:19" s="444" customFormat="1" ht="25.5">
      <c r="A36" s="612"/>
      <c r="B36" s="613" t="s">
        <v>175</v>
      </c>
      <c r="C36" s="614"/>
      <c r="D36" s="490">
        <f>D32+D35</f>
        <v>818603</v>
      </c>
      <c r="E36" s="490">
        <f t="shared" ref="E36:Q36" si="19">E32+E35</f>
        <v>1210461</v>
      </c>
      <c r="F36" s="490">
        <f t="shared" si="19"/>
        <v>783436</v>
      </c>
      <c r="G36" s="490">
        <f t="shared" si="19"/>
        <v>1105169</v>
      </c>
      <c r="H36" s="490">
        <f t="shared" si="19"/>
        <v>785461</v>
      </c>
      <c r="I36" s="490">
        <f t="shared" si="19"/>
        <v>416656</v>
      </c>
      <c r="J36" s="490">
        <f t="shared" si="19"/>
        <v>673592</v>
      </c>
      <c r="K36" s="490">
        <f t="shared" si="19"/>
        <v>1136292</v>
      </c>
      <c r="L36" s="490">
        <f t="shared" si="19"/>
        <v>789817</v>
      </c>
      <c r="M36" s="490">
        <f t="shared" si="19"/>
        <v>787318</v>
      </c>
      <c r="N36" s="490">
        <f t="shared" si="19"/>
        <v>556548</v>
      </c>
      <c r="O36" s="490">
        <f t="shared" si="19"/>
        <v>395562</v>
      </c>
      <c r="P36" s="490">
        <f t="shared" si="19"/>
        <v>276434</v>
      </c>
      <c r="Q36" s="490">
        <f t="shared" si="19"/>
        <v>9735349</v>
      </c>
      <c r="R36" s="490">
        <v>9080785</v>
      </c>
      <c r="S36" s="491">
        <v>8884982</v>
      </c>
    </row>
    <row r="37" spans="1:19" s="438" customFormat="1">
      <c r="A37" s="594"/>
      <c r="B37" s="588" t="s">
        <v>44</v>
      </c>
      <c r="C37" s="595"/>
      <c r="D37" s="463">
        <f>D36/C5</f>
        <v>26406.548387096773</v>
      </c>
      <c r="E37" s="463">
        <f>E36/C5</f>
        <v>39047.129032258068</v>
      </c>
      <c r="F37" s="463">
        <f>F36/C5</f>
        <v>25272.129032258064</v>
      </c>
      <c r="G37" s="463">
        <f>G36/C5</f>
        <v>35650.612903225803</v>
      </c>
      <c r="H37" s="463">
        <f>H36/C5</f>
        <v>25337.451612903227</v>
      </c>
      <c r="I37" s="463">
        <f>I36/C5</f>
        <v>13440.516129032258</v>
      </c>
      <c r="J37" s="463">
        <f>J36/C5</f>
        <v>21728.774193548386</v>
      </c>
      <c r="K37" s="463">
        <f>K36/C5</f>
        <v>36654.580645161288</v>
      </c>
      <c r="L37" s="463">
        <f>L36/C5</f>
        <v>25477.967741935485</v>
      </c>
      <c r="M37" s="463">
        <f>M36/C5</f>
        <v>25397.354838709678</v>
      </c>
      <c r="N37" s="463">
        <f>N36/C5</f>
        <v>17953.16129032258</v>
      </c>
      <c r="O37" s="463">
        <f>O36/C5</f>
        <v>12760.064516129032</v>
      </c>
      <c r="P37" s="463">
        <f>P36/C5</f>
        <v>8917.2258064516136</v>
      </c>
      <c r="Q37" s="463">
        <f>Q36/C5</f>
        <v>314043.51612903224</v>
      </c>
      <c r="R37" s="463">
        <v>302692.83333333331</v>
      </c>
      <c r="S37" s="464">
        <v>286612</v>
      </c>
    </row>
    <row r="38" spans="1:19" s="438" customFormat="1">
      <c r="A38" s="598"/>
      <c r="B38" s="599" t="s">
        <v>45</v>
      </c>
      <c r="C38" s="600"/>
      <c r="D38" s="492">
        <f t="shared" ref="D38:Q38" si="20">SUM((D37)/D17)</f>
        <v>204.70192548137032</v>
      </c>
      <c r="E38" s="492">
        <f t="shared" si="20"/>
        <v>213.37228979375993</v>
      </c>
      <c r="F38" s="492">
        <f t="shared" si="20"/>
        <v>187.20095579450418</v>
      </c>
      <c r="G38" s="492">
        <f t="shared" si="20"/>
        <v>194.81209236735413</v>
      </c>
      <c r="H38" s="492">
        <f t="shared" si="20"/>
        <v>224.22523551241795</v>
      </c>
      <c r="I38" s="492">
        <f t="shared" si="20"/>
        <v>200.60471834376503</v>
      </c>
      <c r="J38" s="492">
        <f t="shared" si="20"/>
        <v>187.31701890989987</v>
      </c>
      <c r="K38" s="492">
        <f t="shared" si="20"/>
        <v>239.57242251739405</v>
      </c>
      <c r="L38" s="492">
        <f t="shared" si="20"/>
        <v>265.39549731182797</v>
      </c>
      <c r="M38" s="492">
        <f t="shared" si="20"/>
        <v>241.87956989247311</v>
      </c>
      <c r="N38" s="492">
        <f t="shared" si="20"/>
        <v>218.94099134539732</v>
      </c>
      <c r="O38" s="492">
        <f t="shared" si="20"/>
        <v>205.80749219562955</v>
      </c>
      <c r="P38" s="492">
        <f t="shared" si="20"/>
        <v>212.31490015360984</v>
      </c>
      <c r="Q38" s="492">
        <f t="shared" si="20"/>
        <v>214.21795097478324</v>
      </c>
      <c r="R38" s="492">
        <v>210.05748322923895</v>
      </c>
      <c r="S38" s="493">
        <v>207.54</v>
      </c>
    </row>
    <row r="39" spans="1:19" s="438" customFormat="1">
      <c r="A39" s="594">
        <v>8</v>
      </c>
      <c r="B39" s="588" t="s">
        <v>46</v>
      </c>
      <c r="C39" s="595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64"/>
    </row>
    <row r="40" spans="1:19" s="438" customFormat="1">
      <c r="A40" s="611"/>
      <c r="B40" s="405" t="s">
        <v>47</v>
      </c>
      <c r="C40" s="590"/>
      <c r="D40" s="399">
        <v>4942</v>
      </c>
      <c r="E40" s="399">
        <v>1392</v>
      </c>
      <c r="F40" s="399">
        <v>10338</v>
      </c>
      <c r="G40" s="399">
        <f>15236+142</f>
        <v>15378</v>
      </c>
      <c r="H40" s="399">
        <v>3784</v>
      </c>
      <c r="I40" s="399">
        <v>9658</v>
      </c>
      <c r="J40" s="399">
        <v>4464</v>
      </c>
      <c r="K40" s="399">
        <v>3701</v>
      </c>
      <c r="L40" s="399">
        <v>0</v>
      </c>
      <c r="M40" s="399">
        <v>1365</v>
      </c>
      <c r="N40" s="399">
        <v>0</v>
      </c>
      <c r="O40" s="399">
        <v>909</v>
      </c>
      <c r="P40" s="399">
        <v>1641</v>
      </c>
      <c r="Q40" s="388">
        <f>SUM(D40:P40)</f>
        <v>57572</v>
      </c>
      <c r="R40" s="388">
        <v>54334</v>
      </c>
      <c r="S40" s="456">
        <v>71344</v>
      </c>
    </row>
    <row r="41" spans="1:19" s="438" customFormat="1">
      <c r="A41" s="611"/>
      <c r="B41" s="405" t="s">
        <v>48</v>
      </c>
      <c r="C41" s="590"/>
      <c r="D41" s="399">
        <v>3028</v>
      </c>
      <c r="E41" s="399">
        <v>18538</v>
      </c>
      <c r="F41" s="399">
        <v>17167</v>
      </c>
      <c r="G41" s="399">
        <v>3419</v>
      </c>
      <c r="H41" s="399">
        <v>3344</v>
      </c>
      <c r="I41" s="399">
        <v>471</v>
      </c>
      <c r="J41" s="399">
        <v>5711</v>
      </c>
      <c r="K41" s="399">
        <v>4012</v>
      </c>
      <c r="L41" s="399">
        <v>9717</v>
      </c>
      <c r="M41" s="399">
        <v>3422</v>
      </c>
      <c r="N41" s="399">
        <v>0</v>
      </c>
      <c r="O41" s="399">
        <v>5187</v>
      </c>
      <c r="P41" s="399">
        <v>7143</v>
      </c>
      <c r="Q41" s="388">
        <f>SUM(D41:P41)</f>
        <v>81159</v>
      </c>
      <c r="R41" s="388">
        <v>76267</v>
      </c>
      <c r="S41" s="456">
        <v>52623</v>
      </c>
    </row>
    <row r="42" spans="1:19" s="438" customFormat="1" ht="25.5">
      <c r="A42" s="611"/>
      <c r="B42" s="405" t="s">
        <v>49</v>
      </c>
      <c r="C42" s="614"/>
      <c r="D42" s="615">
        <f t="shared" ref="D42:P42" si="21">SUM(D40:D41)</f>
        <v>7970</v>
      </c>
      <c r="E42" s="615">
        <f t="shared" si="21"/>
        <v>19930</v>
      </c>
      <c r="F42" s="615">
        <f t="shared" si="21"/>
        <v>27505</v>
      </c>
      <c r="G42" s="615">
        <f t="shared" si="21"/>
        <v>18797</v>
      </c>
      <c r="H42" s="615">
        <f t="shared" si="21"/>
        <v>7128</v>
      </c>
      <c r="I42" s="615">
        <f>SUM(I40:I41)</f>
        <v>10129</v>
      </c>
      <c r="J42" s="615">
        <f>SUM(J40:J41)</f>
        <v>10175</v>
      </c>
      <c r="K42" s="615">
        <f t="shared" si="21"/>
        <v>7713</v>
      </c>
      <c r="L42" s="615">
        <f t="shared" si="21"/>
        <v>9717</v>
      </c>
      <c r="M42" s="615">
        <f>SUM(M40:M41)</f>
        <v>4787</v>
      </c>
      <c r="N42" s="615">
        <f t="shared" si="21"/>
        <v>0</v>
      </c>
      <c r="O42" s="615">
        <f t="shared" si="21"/>
        <v>6096</v>
      </c>
      <c r="P42" s="615">
        <f t="shared" si="21"/>
        <v>8784</v>
      </c>
      <c r="Q42" s="490">
        <f>SUM(D42:P42)</f>
        <v>138731</v>
      </c>
      <c r="R42" s="490">
        <v>130601</v>
      </c>
      <c r="S42" s="491">
        <v>123967</v>
      </c>
    </row>
    <row r="43" spans="1:19" s="438" customFormat="1">
      <c r="A43" s="404"/>
      <c r="B43" s="405" t="s">
        <v>50</v>
      </c>
      <c r="C43" s="590"/>
      <c r="D43" s="401">
        <f t="shared" ref="D43:P43" si="22">ROUND((D40)/$C5,0)</f>
        <v>159</v>
      </c>
      <c r="E43" s="401">
        <f t="shared" si="22"/>
        <v>45</v>
      </c>
      <c r="F43" s="401">
        <f t="shared" si="22"/>
        <v>333</v>
      </c>
      <c r="G43" s="401">
        <f t="shared" si="22"/>
        <v>496</v>
      </c>
      <c r="H43" s="401">
        <f t="shared" si="22"/>
        <v>122</v>
      </c>
      <c r="I43" s="401">
        <f t="shared" si="22"/>
        <v>312</v>
      </c>
      <c r="J43" s="401">
        <f t="shared" si="22"/>
        <v>144</v>
      </c>
      <c r="K43" s="401">
        <f t="shared" si="22"/>
        <v>119</v>
      </c>
      <c r="L43" s="401">
        <f t="shared" si="22"/>
        <v>0</v>
      </c>
      <c r="M43" s="401">
        <f t="shared" si="22"/>
        <v>44</v>
      </c>
      <c r="N43" s="401">
        <f t="shared" si="22"/>
        <v>0</v>
      </c>
      <c r="O43" s="401">
        <f t="shared" si="22"/>
        <v>29</v>
      </c>
      <c r="P43" s="401">
        <f t="shared" si="22"/>
        <v>53</v>
      </c>
      <c r="Q43" s="388">
        <f>Q40/C5</f>
        <v>1857.1612903225807</v>
      </c>
      <c r="R43" s="388">
        <v>1811.1333333333334</v>
      </c>
      <c r="S43" s="456">
        <v>2301.4193548387098</v>
      </c>
    </row>
    <row r="44" spans="1:19" s="438" customFormat="1">
      <c r="A44" s="404"/>
      <c r="B44" s="405" t="s">
        <v>51</v>
      </c>
      <c r="C44" s="590"/>
      <c r="D44" s="388">
        <f>SUM(D41/C5)</f>
        <v>97.677419354838705</v>
      </c>
      <c r="E44" s="388">
        <f>SUM(E41/C5)</f>
        <v>598</v>
      </c>
      <c r="F44" s="388">
        <f>SUM(F41/C5)</f>
        <v>553.77419354838707</v>
      </c>
      <c r="G44" s="388">
        <f>SUM(G41/C5)</f>
        <v>110.29032258064517</v>
      </c>
      <c r="H44" s="388">
        <f>SUM(H41/C5)</f>
        <v>107.87096774193549</v>
      </c>
      <c r="I44" s="388">
        <f>SUM(I41/C5)</f>
        <v>15.193548387096774</v>
      </c>
      <c r="J44" s="388">
        <f>SUM(J41/C5)</f>
        <v>184.2258064516129</v>
      </c>
      <c r="K44" s="388">
        <f>SUM(K41/C5)</f>
        <v>129.41935483870967</v>
      </c>
      <c r="L44" s="388">
        <f>SUM(L41/C5)</f>
        <v>313.45161290322579</v>
      </c>
      <c r="M44" s="388">
        <f>SUM(M41/C5)</f>
        <v>110.38709677419355</v>
      </c>
      <c r="N44" s="388">
        <f>SUM(N41/C5)</f>
        <v>0</v>
      </c>
      <c r="O44" s="388">
        <f>SUM(O41/C5)</f>
        <v>167.32258064516128</v>
      </c>
      <c r="P44" s="388">
        <f>SUM(P41/C5)</f>
        <v>230.41935483870967</v>
      </c>
      <c r="Q44" s="388">
        <f>Q41/C5</f>
        <v>2618.0322580645161</v>
      </c>
      <c r="R44" s="388">
        <v>2542.2333333333331</v>
      </c>
      <c r="S44" s="456">
        <v>1697.516129032258</v>
      </c>
    </row>
    <row r="45" spans="1:19" s="438" customFormat="1" ht="25.5">
      <c r="A45" s="404"/>
      <c r="B45" s="405" t="s">
        <v>52</v>
      </c>
      <c r="C45" s="590"/>
      <c r="D45" s="388">
        <f t="shared" ref="D45:P45" si="23">SUM(D43:D44)</f>
        <v>256.67741935483872</v>
      </c>
      <c r="E45" s="388">
        <f t="shared" si="23"/>
        <v>643</v>
      </c>
      <c r="F45" s="388">
        <f t="shared" si="23"/>
        <v>886.77419354838707</v>
      </c>
      <c r="G45" s="388">
        <f t="shared" si="23"/>
        <v>606.29032258064512</v>
      </c>
      <c r="H45" s="388">
        <f t="shared" si="23"/>
        <v>229.87096774193549</v>
      </c>
      <c r="I45" s="388">
        <f>SUM(I43:I44)</f>
        <v>327.19354838709677</v>
      </c>
      <c r="J45" s="388">
        <f>SUM(J43:J44)</f>
        <v>328.22580645161293</v>
      </c>
      <c r="K45" s="388">
        <f t="shared" si="23"/>
        <v>248.41935483870967</v>
      </c>
      <c r="L45" s="388">
        <f t="shared" si="23"/>
        <v>313.45161290322579</v>
      </c>
      <c r="M45" s="388">
        <f>SUM(M43:M44)</f>
        <v>154.38709677419354</v>
      </c>
      <c r="N45" s="388">
        <f t="shared" si="23"/>
        <v>0</v>
      </c>
      <c r="O45" s="388">
        <f t="shared" si="23"/>
        <v>196.32258064516128</v>
      </c>
      <c r="P45" s="388">
        <f t="shared" si="23"/>
        <v>283.41935483870964</v>
      </c>
      <c r="Q45" s="388">
        <f>Q42/C5</f>
        <v>4475.1935483870966</v>
      </c>
      <c r="R45" s="388">
        <v>4353.3666666666668</v>
      </c>
      <c r="S45" s="456">
        <v>3998.9354838709678</v>
      </c>
    </row>
    <row r="46" spans="1:19" s="438" customFormat="1">
      <c r="A46" s="404"/>
      <c r="B46" s="405" t="s">
        <v>53</v>
      </c>
      <c r="C46" s="590"/>
      <c r="D46" s="399">
        <v>15569</v>
      </c>
      <c r="E46" s="399">
        <v>17236</v>
      </c>
      <c r="F46" s="399">
        <v>15422</v>
      </c>
      <c r="G46" s="399">
        <v>13423</v>
      </c>
      <c r="H46" s="399">
        <v>7316</v>
      </c>
      <c r="I46" s="399">
        <v>6696</v>
      </c>
      <c r="J46" s="399">
        <v>2265</v>
      </c>
      <c r="K46" s="399">
        <v>4774</v>
      </c>
      <c r="L46" s="399">
        <v>3782</v>
      </c>
      <c r="M46" s="399">
        <v>7801</v>
      </c>
      <c r="N46" s="399">
        <v>0</v>
      </c>
      <c r="O46" s="399">
        <v>1860</v>
      </c>
      <c r="P46" s="399">
        <v>3128</v>
      </c>
      <c r="Q46" s="494">
        <f>SUM(D46:P46)</f>
        <v>99272</v>
      </c>
      <c r="R46" s="494">
        <v>94705</v>
      </c>
      <c r="S46" s="495">
        <v>101696</v>
      </c>
    </row>
    <row r="47" spans="1:19" s="438" customFormat="1">
      <c r="A47" s="616"/>
      <c r="B47" s="617" t="s">
        <v>54</v>
      </c>
      <c r="C47" s="618"/>
      <c r="D47" s="619">
        <f t="shared" ref="D47:P47" si="24">ROUND((D46)/$C5,0)</f>
        <v>502</v>
      </c>
      <c r="E47" s="619">
        <f t="shared" si="24"/>
        <v>556</v>
      </c>
      <c r="F47" s="619">
        <f t="shared" si="24"/>
        <v>497</v>
      </c>
      <c r="G47" s="619">
        <f t="shared" si="24"/>
        <v>433</v>
      </c>
      <c r="H47" s="619">
        <f t="shared" si="24"/>
        <v>236</v>
      </c>
      <c r="I47" s="619">
        <f t="shared" si="24"/>
        <v>216</v>
      </c>
      <c r="J47" s="619">
        <f t="shared" si="24"/>
        <v>73</v>
      </c>
      <c r="K47" s="619">
        <f t="shared" si="24"/>
        <v>154</v>
      </c>
      <c r="L47" s="619">
        <f t="shared" si="24"/>
        <v>122</v>
      </c>
      <c r="M47" s="619">
        <f t="shared" si="24"/>
        <v>252</v>
      </c>
      <c r="N47" s="619">
        <f t="shared" si="24"/>
        <v>0</v>
      </c>
      <c r="O47" s="619">
        <f t="shared" si="24"/>
        <v>60</v>
      </c>
      <c r="P47" s="619">
        <f t="shared" si="24"/>
        <v>101</v>
      </c>
      <c r="Q47" s="475">
        <f>Q46/C5</f>
        <v>3202.3225806451615</v>
      </c>
      <c r="R47" s="475">
        <v>3156.8333333333335</v>
      </c>
      <c r="S47" s="476">
        <v>3280.516129032258</v>
      </c>
    </row>
    <row r="48" spans="1:19">
      <c r="A48" s="620">
        <v>9</v>
      </c>
      <c r="B48" s="621" t="s">
        <v>173</v>
      </c>
      <c r="C48" s="622"/>
      <c r="D48" s="399">
        <v>417744</v>
      </c>
      <c r="E48" s="399">
        <v>52345</v>
      </c>
      <c r="F48" s="399">
        <v>376666</v>
      </c>
      <c r="G48" s="399">
        <f>354050+11424</f>
        <v>365474</v>
      </c>
      <c r="H48" s="399">
        <v>377796</v>
      </c>
      <c r="I48" s="399">
        <v>247247</v>
      </c>
      <c r="J48" s="399">
        <v>400083</v>
      </c>
      <c r="K48" s="399">
        <v>246432</v>
      </c>
      <c r="L48" s="399">
        <v>4480</v>
      </c>
      <c r="M48" s="399">
        <v>96068</v>
      </c>
      <c r="N48" s="399">
        <v>0</v>
      </c>
      <c r="O48" s="399">
        <v>47672</v>
      </c>
      <c r="P48" s="399">
        <v>67330</v>
      </c>
      <c r="Q48" s="463">
        <f>SUM(D48:P48)</f>
        <v>2699337</v>
      </c>
      <c r="R48" s="463">
        <v>2586782</v>
      </c>
      <c r="S48" s="464">
        <v>4127211</v>
      </c>
    </row>
    <row r="49" spans="1:19">
      <c r="A49" s="404"/>
      <c r="B49" s="588" t="s">
        <v>56</v>
      </c>
      <c r="C49" s="590"/>
      <c r="D49" s="399">
        <v>319568</v>
      </c>
      <c r="E49" s="399">
        <v>862050</v>
      </c>
      <c r="F49" s="399">
        <v>386978</v>
      </c>
      <c r="G49" s="399">
        <v>285676</v>
      </c>
      <c r="H49" s="399">
        <v>353699</v>
      </c>
      <c r="I49" s="399">
        <v>134931</v>
      </c>
      <c r="J49" s="399">
        <v>131426</v>
      </c>
      <c r="K49" s="399">
        <v>228574</v>
      </c>
      <c r="L49" s="399">
        <v>368467</v>
      </c>
      <c r="M49" s="399">
        <v>592719</v>
      </c>
      <c r="N49" s="399">
        <v>0</v>
      </c>
      <c r="O49" s="399">
        <v>315670</v>
      </c>
      <c r="P49" s="399">
        <v>221016</v>
      </c>
      <c r="Q49" s="388">
        <f>SUM(D49:P49)</f>
        <v>4200774</v>
      </c>
      <c r="R49" s="388">
        <v>3886727</v>
      </c>
      <c r="S49" s="456">
        <v>2281186</v>
      </c>
    </row>
    <row r="50" spans="1:19" s="473" customFormat="1" ht="25.5">
      <c r="A50" s="623"/>
      <c r="B50" s="624" t="s">
        <v>187</v>
      </c>
      <c r="C50" s="606"/>
      <c r="D50" s="625">
        <f t="shared" ref="D50:P50" si="25">SUM(D48:D49)</f>
        <v>737312</v>
      </c>
      <c r="E50" s="625">
        <f t="shared" si="25"/>
        <v>914395</v>
      </c>
      <c r="F50" s="625">
        <f t="shared" si="25"/>
        <v>763644</v>
      </c>
      <c r="G50" s="625">
        <f t="shared" si="25"/>
        <v>651150</v>
      </c>
      <c r="H50" s="625">
        <f t="shared" si="25"/>
        <v>731495</v>
      </c>
      <c r="I50" s="625">
        <f>SUM(I48:I49)</f>
        <v>382178</v>
      </c>
      <c r="J50" s="625">
        <f>SUM(J48:J49)</f>
        <v>531509</v>
      </c>
      <c r="K50" s="625">
        <f t="shared" si="25"/>
        <v>475006</v>
      </c>
      <c r="L50" s="625">
        <f t="shared" si="25"/>
        <v>372947</v>
      </c>
      <c r="M50" s="625">
        <f>SUM(M48:M49)</f>
        <v>688787</v>
      </c>
      <c r="N50" s="625">
        <f t="shared" si="25"/>
        <v>0</v>
      </c>
      <c r="O50" s="625">
        <f t="shared" si="25"/>
        <v>363342</v>
      </c>
      <c r="P50" s="625">
        <f t="shared" si="25"/>
        <v>288346</v>
      </c>
      <c r="Q50" s="504">
        <f>SUM(D50:P50)</f>
        <v>6900111</v>
      </c>
      <c r="R50" s="504">
        <v>6473509</v>
      </c>
      <c r="S50" s="505">
        <v>6408397</v>
      </c>
    </row>
    <row r="51" spans="1:19" ht="25.5">
      <c r="A51" s="594"/>
      <c r="B51" s="588" t="s">
        <v>58</v>
      </c>
      <c r="C51" s="595"/>
      <c r="D51" s="463">
        <f>SUM(D48/C5)</f>
        <v>13475.612903225807</v>
      </c>
      <c r="E51" s="463">
        <f>SUM(E48/C5)</f>
        <v>1688.5483870967741</v>
      </c>
      <c r="F51" s="463">
        <f>SUM(F48/C5)</f>
        <v>12150.516129032258</v>
      </c>
      <c r="G51" s="463">
        <f>SUM(G48/C5)</f>
        <v>11789.483870967742</v>
      </c>
      <c r="H51" s="463">
        <f>SUM(H48/C5)</f>
        <v>12186.967741935483</v>
      </c>
      <c r="I51" s="463">
        <f>SUM(I48/C5)</f>
        <v>7975.7096774193551</v>
      </c>
      <c r="J51" s="463">
        <f>SUM(J48/C5)</f>
        <v>12905.903225806451</v>
      </c>
      <c r="K51" s="463">
        <f>SUM(K48/C5)</f>
        <v>7949.4193548387093</v>
      </c>
      <c r="L51" s="463">
        <f>SUM(L48/C5)</f>
        <v>144.51612903225808</v>
      </c>
      <c r="M51" s="463">
        <f>SUM(M48/C5)</f>
        <v>3098.9677419354839</v>
      </c>
      <c r="N51" s="463">
        <f>SUM(N48/C5)</f>
        <v>0</v>
      </c>
      <c r="O51" s="463">
        <f>SUM(O48/C5)</f>
        <v>1537.8064516129032</v>
      </c>
      <c r="P51" s="463">
        <f>SUM(P48/C5)</f>
        <v>2171.9354838709678</v>
      </c>
      <c r="Q51" s="463">
        <f>Q48/C5</f>
        <v>87075.387096774197</v>
      </c>
      <c r="R51" s="463">
        <v>86226.066666666666</v>
      </c>
      <c r="S51" s="464">
        <v>133135.83870967742</v>
      </c>
    </row>
    <row r="52" spans="1:19" ht="25.5">
      <c r="A52" s="404"/>
      <c r="B52" s="588" t="s">
        <v>59</v>
      </c>
      <c r="C52" s="590"/>
      <c r="D52" s="388">
        <f>SUM(D49/C5)</f>
        <v>10308.645161290322</v>
      </c>
      <c r="E52" s="388">
        <f>SUM(E49/C5)</f>
        <v>27808.064516129034</v>
      </c>
      <c r="F52" s="388">
        <f>SUM(F49/C5)</f>
        <v>12483.161290322581</v>
      </c>
      <c r="G52" s="388">
        <f>SUM(G49/C5)</f>
        <v>9215.354838709678</v>
      </c>
      <c r="H52" s="388">
        <f>SUM(H49/C5)</f>
        <v>11409.645161290322</v>
      </c>
      <c r="I52" s="388">
        <f>SUM(I49/C5)</f>
        <v>4352.6129032258068</v>
      </c>
      <c r="J52" s="388">
        <f>SUM(J49/C5)</f>
        <v>4239.5483870967746</v>
      </c>
      <c r="K52" s="388">
        <f>SUM(K49/C5)</f>
        <v>7373.3548387096771</v>
      </c>
      <c r="L52" s="388">
        <f>SUM(L49/C5)</f>
        <v>11886.032258064517</v>
      </c>
      <c r="M52" s="388">
        <f>SUM(M49/C5)</f>
        <v>19119.967741935485</v>
      </c>
      <c r="N52" s="388">
        <f>SUM(N49/C5)</f>
        <v>0</v>
      </c>
      <c r="O52" s="388">
        <f>SUM(O49/C5)</f>
        <v>10182.903225806451</v>
      </c>
      <c r="P52" s="388">
        <f>SUM(P49/C5)</f>
        <v>7129.5483870967746</v>
      </c>
      <c r="Q52" s="388">
        <f>Q49/C5</f>
        <v>135508.83870967742</v>
      </c>
      <c r="R52" s="388">
        <v>129557.56666666667</v>
      </c>
      <c r="S52" s="456">
        <v>73586.645161290318</v>
      </c>
    </row>
    <row r="53" spans="1:19">
      <c r="A53" s="598"/>
      <c r="B53" s="599" t="s">
        <v>60</v>
      </c>
      <c r="C53" s="600"/>
      <c r="D53" s="475">
        <f t="shared" ref="D53:P53" si="26">SUM(D51:D52)</f>
        <v>23784.258064516129</v>
      </c>
      <c r="E53" s="475">
        <f t="shared" si="26"/>
        <v>29496.612903225807</v>
      </c>
      <c r="F53" s="475">
        <f t="shared" si="26"/>
        <v>24633.677419354841</v>
      </c>
      <c r="G53" s="475">
        <f t="shared" si="26"/>
        <v>21004.83870967742</v>
      </c>
      <c r="H53" s="475">
        <f t="shared" si="26"/>
        <v>23596.612903225803</v>
      </c>
      <c r="I53" s="475">
        <f>SUM(I51:I52)</f>
        <v>12328.322580645163</v>
      </c>
      <c r="J53" s="475">
        <f>SUM(J51:J52)</f>
        <v>17145.451612903227</v>
      </c>
      <c r="K53" s="475">
        <f t="shared" si="26"/>
        <v>15322.774193548386</v>
      </c>
      <c r="L53" s="475">
        <f t="shared" si="26"/>
        <v>12030.548387096775</v>
      </c>
      <c r="M53" s="475">
        <f>SUM(M51:M52)</f>
        <v>22218.93548387097</v>
      </c>
      <c r="N53" s="475">
        <f t="shared" si="26"/>
        <v>0</v>
      </c>
      <c r="O53" s="475">
        <f t="shared" si="26"/>
        <v>11720.709677419354</v>
      </c>
      <c r="P53" s="475">
        <f t="shared" si="26"/>
        <v>9301.4838709677424</v>
      </c>
      <c r="Q53" s="475">
        <f>Q50/C5</f>
        <v>222584.22580645161</v>
      </c>
      <c r="R53" s="475">
        <v>215783.63333333333</v>
      </c>
      <c r="S53" s="476">
        <v>206722.48387096773</v>
      </c>
    </row>
    <row r="54" spans="1:19" s="452" customFormat="1">
      <c r="A54" s="612">
        <v>10</v>
      </c>
      <c r="B54" s="613" t="s">
        <v>61</v>
      </c>
      <c r="C54" s="626"/>
      <c r="D54" s="463">
        <f t="shared" ref="D54:Q54" si="27">D29-D36</f>
        <v>197837.40000000002</v>
      </c>
      <c r="E54" s="463">
        <f t="shared" si="27"/>
        <v>307649.30000000005</v>
      </c>
      <c r="F54" s="463">
        <f t="shared" si="27"/>
        <v>168555.40000000002</v>
      </c>
      <c r="G54" s="463">
        <f t="shared" si="27"/>
        <v>161636.69999999995</v>
      </c>
      <c r="H54" s="463">
        <f t="shared" si="27"/>
        <v>158107.70000000007</v>
      </c>
      <c r="I54" s="463">
        <f t="shared" si="27"/>
        <v>70093.600000000035</v>
      </c>
      <c r="J54" s="463">
        <f t="shared" si="27"/>
        <v>90564.20000000007</v>
      </c>
      <c r="K54" s="463">
        <f t="shared" si="27"/>
        <v>299277.69999999995</v>
      </c>
      <c r="L54" s="463">
        <f t="shared" si="27"/>
        <v>57840.79999999993</v>
      </c>
      <c r="M54" s="463">
        <f t="shared" si="27"/>
        <v>168920.40000000002</v>
      </c>
      <c r="N54" s="463">
        <f t="shared" si="27"/>
        <v>89023.900000000023</v>
      </c>
      <c r="O54" s="463">
        <f t="shared" si="27"/>
        <v>58302.799999999988</v>
      </c>
      <c r="P54" s="463">
        <f t="shared" si="27"/>
        <v>12052</v>
      </c>
      <c r="Q54" s="463">
        <f t="shared" si="27"/>
        <v>1839861.9000000004</v>
      </c>
      <c r="R54" s="463">
        <v>2179659.5</v>
      </c>
      <c r="S54" s="464">
        <v>3108513.4499999974</v>
      </c>
    </row>
    <row r="55" spans="1:19">
      <c r="A55" s="598"/>
      <c r="B55" s="599" t="s">
        <v>62</v>
      </c>
      <c r="C55" s="600"/>
      <c r="D55" s="475">
        <f>SUM(D54/C5)</f>
        <v>6381.8516129032269</v>
      </c>
      <c r="E55" s="475">
        <f>SUM(E54/C5)</f>
        <v>9924.1709677419367</v>
      </c>
      <c r="F55" s="475">
        <f>SUM(F54/C5)</f>
        <v>5437.2709677419361</v>
      </c>
      <c r="G55" s="475">
        <f>SUM(G54/C5)</f>
        <v>5214.0870967741921</v>
      </c>
      <c r="H55" s="475">
        <f>SUM(H54/C5)</f>
        <v>5100.2483870967762</v>
      </c>
      <c r="I55" s="475">
        <f>SUM(I54/C5)</f>
        <v>2261.0838709677432</v>
      </c>
      <c r="J55" s="475">
        <f>SUM(J54/C5)</f>
        <v>2921.4258064516152</v>
      </c>
      <c r="K55" s="475">
        <f>SUM(K54/C5)</f>
        <v>9654.1193548387073</v>
      </c>
      <c r="L55" s="475">
        <f>SUM(L54/C5)</f>
        <v>1865.8322580645138</v>
      </c>
      <c r="M55" s="475">
        <f>SUM(M54/C5)</f>
        <v>5449.0451612903234</v>
      </c>
      <c r="N55" s="475">
        <f>SUM(N54/C5)</f>
        <v>2871.73870967742</v>
      </c>
      <c r="O55" s="475">
        <f>SUM(O54/C5)</f>
        <v>1880.7354838709673</v>
      </c>
      <c r="P55" s="475">
        <f>SUM(P54/C5)</f>
        <v>388.77419354838707</v>
      </c>
      <c r="Q55" s="475">
        <f>SUM(Q54/C5)</f>
        <v>59350.383870967751</v>
      </c>
      <c r="R55" s="475">
        <v>72655.316666666666</v>
      </c>
      <c r="S55" s="476">
        <v>100274.62741935476</v>
      </c>
    </row>
    <row r="56" spans="1:19" s="435" customFormat="1" ht="25.5">
      <c r="A56" s="587">
        <v>11</v>
      </c>
      <c r="B56" s="588" t="s">
        <v>63</v>
      </c>
      <c r="C56" s="596"/>
      <c r="D56" s="399">
        <v>32254890</v>
      </c>
      <c r="E56" s="399">
        <v>42330140</v>
      </c>
      <c r="F56" s="399">
        <v>33347178</v>
      </c>
      <c r="G56" s="399">
        <v>53658053</v>
      </c>
      <c r="H56" s="399">
        <v>30485635</v>
      </c>
      <c r="I56" s="399">
        <v>18486213</v>
      </c>
      <c r="J56" s="399">
        <v>28333775</v>
      </c>
      <c r="K56" s="399">
        <v>37114115</v>
      </c>
      <c r="L56" s="399">
        <v>27950980</v>
      </c>
      <c r="M56" s="399">
        <v>25081200</v>
      </c>
      <c r="N56" s="399">
        <v>25115045</v>
      </c>
      <c r="O56" s="399">
        <v>15403737</v>
      </c>
      <c r="P56" s="399">
        <v>10011190</v>
      </c>
      <c r="Q56" s="507">
        <f>SUM(D56:P56)</f>
        <v>379572151</v>
      </c>
      <c r="R56" s="507">
        <v>355691581</v>
      </c>
      <c r="S56" s="508">
        <v>355402748</v>
      </c>
    </row>
    <row r="57" spans="1:19" s="438" customFormat="1">
      <c r="A57" s="404"/>
      <c r="B57" s="405" t="s">
        <v>64</v>
      </c>
      <c r="C57" s="590"/>
      <c r="D57" s="400">
        <f t="shared" ref="D57:P57" si="28">ROUND((D56)/$C5,0)</f>
        <v>1040480</v>
      </c>
      <c r="E57" s="400">
        <f t="shared" si="28"/>
        <v>1365488</v>
      </c>
      <c r="F57" s="400">
        <f t="shared" si="28"/>
        <v>1075715</v>
      </c>
      <c r="G57" s="400">
        <f t="shared" si="28"/>
        <v>1730905</v>
      </c>
      <c r="H57" s="400">
        <f t="shared" si="28"/>
        <v>983408</v>
      </c>
      <c r="I57" s="400">
        <f t="shared" si="28"/>
        <v>596329</v>
      </c>
      <c r="J57" s="400">
        <f t="shared" si="28"/>
        <v>913993</v>
      </c>
      <c r="K57" s="400">
        <f t="shared" si="28"/>
        <v>1197230</v>
      </c>
      <c r="L57" s="400">
        <f t="shared" si="28"/>
        <v>901645</v>
      </c>
      <c r="M57" s="400">
        <f t="shared" si="28"/>
        <v>809071</v>
      </c>
      <c r="N57" s="400">
        <f t="shared" si="28"/>
        <v>810163</v>
      </c>
      <c r="O57" s="400">
        <f t="shared" si="28"/>
        <v>496895</v>
      </c>
      <c r="P57" s="400">
        <f t="shared" si="28"/>
        <v>322942</v>
      </c>
      <c r="Q57" s="463">
        <f>SUM(D57:P57)</f>
        <v>12244264</v>
      </c>
      <c r="R57" s="463">
        <v>11856389</v>
      </c>
      <c r="S57" s="464">
        <v>11464604.774193548</v>
      </c>
    </row>
    <row r="58" spans="1:19" s="435" customFormat="1">
      <c r="A58" s="627"/>
      <c r="B58" s="602" t="s">
        <v>65</v>
      </c>
      <c r="C58" s="628"/>
      <c r="D58" s="511">
        <f>SUM(D57/D67)</f>
        <v>13.973338139145593</v>
      </c>
      <c r="E58" s="511">
        <f t="shared" ref="E58:Q58" si="29">SUM(E57/E67)</f>
        <v>15.088168388155058</v>
      </c>
      <c r="F58" s="511">
        <f t="shared" si="29"/>
        <v>13.061727490791384</v>
      </c>
      <c r="G58" s="511">
        <f t="shared" si="29"/>
        <v>13.178826904349341</v>
      </c>
      <c r="H58" s="511">
        <f t="shared" si="29"/>
        <v>13.578288739947336</v>
      </c>
      <c r="I58" s="511">
        <f>SUM(I57/I67)</f>
        <v>12.411501361920344</v>
      </c>
      <c r="J58" s="511">
        <f>SUM(J57/J67)</f>
        <v>13.308712449476623</v>
      </c>
      <c r="K58" s="511">
        <f t="shared" si="29"/>
        <v>15.049213683974918</v>
      </c>
      <c r="L58" s="511">
        <f t="shared" si="29"/>
        <v>16.351109291135909</v>
      </c>
      <c r="M58" s="511">
        <f>SUM(M57/M67)</f>
        <v>14.498776218521011</v>
      </c>
      <c r="N58" s="511">
        <f t="shared" si="29"/>
        <v>14.824705823325768</v>
      </c>
      <c r="O58" s="511">
        <f t="shared" si="29"/>
        <v>13.43553340491394</v>
      </c>
      <c r="P58" s="511">
        <f t="shared" si="29"/>
        <v>13.567888217276991</v>
      </c>
      <c r="Q58" s="511">
        <f t="shared" si="29"/>
        <v>14.01360556473948</v>
      </c>
      <c r="R58" s="511">
        <v>14.061992899495866</v>
      </c>
      <c r="S58" s="512">
        <v>14.164019189905664</v>
      </c>
    </row>
    <row r="59" spans="1:19" s="438" customFormat="1" ht="25.5">
      <c r="A59" s="616"/>
      <c r="B59" s="617" t="s">
        <v>66</v>
      </c>
      <c r="C59" s="618"/>
      <c r="D59" s="513">
        <f t="shared" ref="D59:Q59" si="30">SUM(D57/D17)</f>
        <v>8065.7364341085267</v>
      </c>
      <c r="E59" s="513">
        <f t="shared" si="30"/>
        <v>7461.6830601092897</v>
      </c>
      <c r="F59" s="513">
        <f t="shared" si="30"/>
        <v>7968.2592592592591</v>
      </c>
      <c r="G59" s="513">
        <f t="shared" si="30"/>
        <v>9458.4972677595633</v>
      </c>
      <c r="H59" s="513">
        <f t="shared" si="30"/>
        <v>8702.7256637168139</v>
      </c>
      <c r="I59" s="513">
        <f t="shared" si="30"/>
        <v>8900.432835820895</v>
      </c>
      <c r="J59" s="513">
        <f t="shared" si="30"/>
        <v>7879.25</v>
      </c>
      <c r="K59" s="513">
        <f t="shared" si="30"/>
        <v>7825.0326797385624</v>
      </c>
      <c r="L59" s="513">
        <f t="shared" si="30"/>
        <v>9392.1354166666661</v>
      </c>
      <c r="M59" s="513">
        <f t="shared" si="30"/>
        <v>7705.4380952380952</v>
      </c>
      <c r="N59" s="513">
        <f t="shared" si="30"/>
        <v>9880.0365853658532</v>
      </c>
      <c r="O59" s="513">
        <f t="shared" si="30"/>
        <v>8014.4354838709678</v>
      </c>
      <c r="P59" s="513">
        <f t="shared" si="30"/>
        <v>7689.0952380952385</v>
      </c>
      <c r="Q59" s="513">
        <f t="shared" si="30"/>
        <v>8352.1582537517061</v>
      </c>
      <c r="R59" s="513">
        <v>8227.8896599583622</v>
      </c>
      <c r="S59" s="514">
        <v>8301.6689168671601</v>
      </c>
    </row>
    <row r="60" spans="1:19" s="438" customFormat="1" ht="15" thickBot="1">
      <c r="A60" s="629">
        <v>12</v>
      </c>
      <c r="B60" s="630" t="s">
        <v>67</v>
      </c>
      <c r="C60" s="631"/>
      <c r="D60" s="518">
        <f t="shared" ref="D60:Q60" si="31">SUM(D56)/D36</f>
        <v>39.402359874078158</v>
      </c>
      <c r="E60" s="518">
        <f t="shared" si="31"/>
        <v>34.970263395516255</v>
      </c>
      <c r="F60" s="518">
        <f t="shared" si="31"/>
        <v>42.565286762415816</v>
      </c>
      <c r="G60" s="518">
        <f t="shared" si="31"/>
        <v>48.551898397439665</v>
      </c>
      <c r="H60" s="518">
        <f t="shared" si="31"/>
        <v>38.812410800790872</v>
      </c>
      <c r="I60" s="518">
        <f t="shared" si="31"/>
        <v>44.368047022003765</v>
      </c>
      <c r="J60" s="518">
        <f t="shared" si="31"/>
        <v>42.063704735210635</v>
      </c>
      <c r="K60" s="518">
        <f t="shared" si="31"/>
        <v>32.662480242754505</v>
      </c>
      <c r="L60" s="518">
        <f t="shared" si="31"/>
        <v>35.389185089710658</v>
      </c>
      <c r="M60" s="518">
        <f t="shared" si="31"/>
        <v>31.85650524946718</v>
      </c>
      <c r="N60" s="518">
        <f t="shared" si="31"/>
        <v>45.126467079209696</v>
      </c>
      <c r="O60" s="518">
        <f t="shared" si="31"/>
        <v>38.941397303077643</v>
      </c>
      <c r="P60" s="518">
        <f t="shared" si="31"/>
        <v>36.215480006077399</v>
      </c>
      <c r="Q60" s="518">
        <f t="shared" si="31"/>
        <v>38.989064593369996</v>
      </c>
      <c r="R60" s="518">
        <v>39.169695241105259</v>
      </c>
      <c r="S60" s="549">
        <v>40.000390321556083</v>
      </c>
    </row>
    <row r="61" spans="1:19" s="435" customFormat="1" ht="15" thickTop="1">
      <c r="A61" s="587">
        <v>13</v>
      </c>
      <c r="B61" s="588" t="s">
        <v>68</v>
      </c>
      <c r="C61" s="596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399"/>
      <c r="S61" s="449"/>
    </row>
    <row r="62" spans="1:19" s="438" customFormat="1">
      <c r="A62" s="404"/>
      <c r="B62" s="405" t="s">
        <v>69</v>
      </c>
      <c r="C62" s="590"/>
      <c r="D62" s="520">
        <f>SUM(D60)/67.32*100</f>
        <v>58.529946337014508</v>
      </c>
      <c r="E62" s="520">
        <f t="shared" ref="E62:P62" si="32">SUM(E60)/67.32*100</f>
        <v>51.946321146043161</v>
      </c>
      <c r="F62" s="520">
        <f t="shared" si="32"/>
        <v>63.228292873463786</v>
      </c>
      <c r="G62" s="520">
        <f t="shared" si="32"/>
        <v>72.121061196434439</v>
      </c>
      <c r="H62" s="520">
        <f t="shared" si="32"/>
        <v>57.653610815197375</v>
      </c>
      <c r="I62" s="520">
        <f t="shared" si="32"/>
        <v>65.906189872257528</v>
      </c>
      <c r="J62" s="520">
        <f t="shared" si="32"/>
        <v>62.483221531804276</v>
      </c>
      <c r="K62" s="520">
        <f t="shared" si="32"/>
        <v>48.518241596486199</v>
      </c>
      <c r="L62" s="520">
        <f t="shared" si="32"/>
        <v>52.568605302600503</v>
      </c>
      <c r="M62" s="520">
        <f t="shared" si="32"/>
        <v>47.321011957021959</v>
      </c>
      <c r="N62" s="520">
        <f t="shared" si="32"/>
        <v>67.032779380881919</v>
      </c>
      <c r="O62" s="520">
        <f t="shared" si="32"/>
        <v>57.845212868505122</v>
      </c>
      <c r="P62" s="520">
        <f t="shared" si="32"/>
        <v>53.796019022693706</v>
      </c>
      <c r="Q62" s="520">
        <f>SUM(Q60)/67.32*100</f>
        <v>57.916019895083181</v>
      </c>
      <c r="R62" s="520">
        <v>57.857747771204224</v>
      </c>
      <c r="S62" s="521">
        <v>57.192436833794801</v>
      </c>
    </row>
    <row r="63" spans="1:19" s="444" customFormat="1" ht="60">
      <c r="A63" s="612"/>
      <c r="B63" s="632" t="s">
        <v>176</v>
      </c>
      <c r="C63" s="614"/>
      <c r="D63" s="523">
        <f>D131/67.32*100</f>
        <v>73.366013071895424</v>
      </c>
      <c r="E63" s="523">
        <f t="shared" ref="E63:P63" si="33">E131/67.32*100</f>
        <v>68.152109328579925</v>
      </c>
      <c r="F63" s="523">
        <f t="shared" si="33"/>
        <v>76.856803327391574</v>
      </c>
      <c r="G63" s="523">
        <f t="shared" si="33"/>
        <v>86.348781937017236</v>
      </c>
      <c r="H63" s="523">
        <f>H131/67.32*100-0.01</f>
        <v>73.727373737373739</v>
      </c>
      <c r="I63" s="523">
        <f t="shared" si="33"/>
        <v>80.31788472964945</v>
      </c>
      <c r="J63" s="523">
        <f t="shared" si="33"/>
        <v>75.742721330956627</v>
      </c>
      <c r="K63" s="523">
        <f t="shared" si="33"/>
        <v>62.715389185977422</v>
      </c>
      <c r="L63" s="523">
        <f>L131/67.32*100+0.01</f>
        <v>70.494254307783734</v>
      </c>
      <c r="M63" s="523">
        <f t="shared" si="33"/>
        <v>62.032085561497333</v>
      </c>
      <c r="N63" s="523">
        <f t="shared" si="33"/>
        <v>82.471776589423655</v>
      </c>
      <c r="O63" s="523">
        <f t="shared" si="33"/>
        <v>71.375519904931679</v>
      </c>
      <c r="P63" s="523">
        <f t="shared" si="33"/>
        <v>67.453951277480698</v>
      </c>
      <c r="Q63" s="523">
        <f>Q131/67.32*100</f>
        <v>72.844280209488858</v>
      </c>
      <c r="R63" s="523">
        <v>72.151778105382775</v>
      </c>
      <c r="S63" s="524">
        <v>72.817552389503817</v>
      </c>
    </row>
    <row r="64" spans="1:19" s="438" customFormat="1" ht="25.5">
      <c r="A64" s="404">
        <v>14</v>
      </c>
      <c r="B64" s="405" t="s">
        <v>193</v>
      </c>
      <c r="C64" s="628"/>
      <c r="D64" s="401" t="s">
        <v>72</v>
      </c>
      <c r="E64" s="401" t="s">
        <v>72</v>
      </c>
      <c r="F64" s="401" t="s">
        <v>72</v>
      </c>
      <c r="G64" s="401" t="s">
        <v>72</v>
      </c>
      <c r="H64" s="401" t="s">
        <v>72</v>
      </c>
      <c r="I64" s="401" t="s">
        <v>72</v>
      </c>
      <c r="J64" s="401" t="s">
        <v>72</v>
      </c>
      <c r="K64" s="401" t="s">
        <v>72</v>
      </c>
      <c r="L64" s="401" t="s">
        <v>72</v>
      </c>
      <c r="M64" s="401" t="s">
        <v>72</v>
      </c>
      <c r="N64" s="401" t="s">
        <v>72</v>
      </c>
      <c r="O64" s="401" t="s">
        <v>72</v>
      </c>
      <c r="P64" s="401" t="s">
        <v>72</v>
      </c>
      <c r="Q64" s="401">
        <v>83.51</v>
      </c>
      <c r="R64" s="401">
        <v>83.51</v>
      </c>
      <c r="S64" s="484">
        <v>76.98</v>
      </c>
    </row>
    <row r="65" spans="1:19" s="435" customFormat="1" ht="25.5">
      <c r="A65" s="627">
        <v>15</v>
      </c>
      <c r="B65" s="405" t="s">
        <v>73</v>
      </c>
      <c r="C65" s="628"/>
      <c r="D65" s="511">
        <f t="shared" ref="D65:Q65" si="34">D15/D8*100</f>
        <v>66.863905325443781</v>
      </c>
      <c r="E65" s="511">
        <f t="shared" si="34"/>
        <v>59.512195121951216</v>
      </c>
      <c r="F65" s="511">
        <f t="shared" si="34"/>
        <v>59.615384615384613</v>
      </c>
      <c r="G65" s="511">
        <f t="shared" si="34"/>
        <v>76.056338028169009</v>
      </c>
      <c r="H65" s="511">
        <f t="shared" si="34"/>
        <v>64.968152866242036</v>
      </c>
      <c r="I65" s="511">
        <f t="shared" si="34"/>
        <v>58.163265306122447</v>
      </c>
      <c r="J65" s="511">
        <f t="shared" si="34"/>
        <v>69.172932330827066</v>
      </c>
      <c r="K65" s="511">
        <f t="shared" si="34"/>
        <v>53.278688524590166</v>
      </c>
      <c r="L65" s="511">
        <f t="shared" si="34"/>
        <v>63.380281690140848</v>
      </c>
      <c r="M65" s="511">
        <f t="shared" si="34"/>
        <v>56.60377358490566</v>
      </c>
      <c r="N65" s="511" t="e">
        <f t="shared" si="34"/>
        <v>#DIV/0!</v>
      </c>
      <c r="O65" s="511">
        <f t="shared" si="34"/>
        <v>59.782608695652172</v>
      </c>
      <c r="P65" s="511">
        <f t="shared" si="34"/>
        <v>49.411764705882355</v>
      </c>
      <c r="Q65" s="511">
        <f t="shared" si="34"/>
        <v>61.852528945764774</v>
      </c>
      <c r="R65" s="511">
        <v>61.124694376528119</v>
      </c>
      <c r="S65" s="512">
        <v>67.565649396735267</v>
      </c>
    </row>
    <row r="66" spans="1:19" s="435" customFormat="1" ht="25.5">
      <c r="A66" s="627">
        <v>16</v>
      </c>
      <c r="B66" s="405" t="s">
        <v>74</v>
      </c>
      <c r="C66" s="628"/>
      <c r="D66" s="511">
        <f t="shared" ref="D66:Q66" si="35">SUM(D53/D15)</f>
        <v>210.4801598629746</v>
      </c>
      <c r="E66" s="511">
        <f t="shared" si="35"/>
        <v>241.77551560021152</v>
      </c>
      <c r="F66" s="511">
        <f t="shared" si="35"/>
        <v>198.65868886576484</v>
      </c>
      <c r="G66" s="511">
        <f t="shared" si="35"/>
        <v>194.48924731182797</v>
      </c>
      <c r="H66" s="511">
        <f t="shared" si="35"/>
        <v>231.33934218848827</v>
      </c>
      <c r="I66" s="511">
        <f t="shared" si="35"/>
        <v>216.28636106395024</v>
      </c>
      <c r="J66" s="511">
        <f t="shared" si="35"/>
        <v>186.36360448807855</v>
      </c>
      <c r="K66" s="511">
        <f t="shared" si="35"/>
        <v>235.7349875930521</v>
      </c>
      <c r="L66" s="511">
        <f t="shared" si="35"/>
        <v>267.34551971326164</v>
      </c>
      <c r="M66" s="511">
        <f t="shared" si="35"/>
        <v>246.87706093189965</v>
      </c>
      <c r="N66" s="511" t="e">
        <f t="shared" si="35"/>
        <v>#DIV/0!</v>
      </c>
      <c r="O66" s="511">
        <f t="shared" si="35"/>
        <v>213.10381231671553</v>
      </c>
      <c r="P66" s="511">
        <f t="shared" si="35"/>
        <v>221.46390168970817</v>
      </c>
      <c r="Q66" s="511">
        <f t="shared" si="35"/>
        <v>219.29480375019864</v>
      </c>
      <c r="R66" s="511">
        <v>215.78363333333334</v>
      </c>
      <c r="S66" s="512">
        <v>217.14546625101653</v>
      </c>
    </row>
    <row r="67" spans="1:19" s="438" customFormat="1" ht="25.5">
      <c r="A67" s="594">
        <v>17</v>
      </c>
      <c r="B67" s="588" t="s">
        <v>75</v>
      </c>
      <c r="C67" s="596"/>
      <c r="D67" s="454">
        <v>74461.806451612909</v>
      </c>
      <c r="E67" s="454">
        <v>90500.580645161288</v>
      </c>
      <c r="F67" s="454">
        <v>82356.258064516136</v>
      </c>
      <c r="G67" s="454">
        <v>131339.83870967742</v>
      </c>
      <c r="H67" s="454">
        <v>72425.032258064515</v>
      </c>
      <c r="I67" s="454">
        <v>48046.483870967742</v>
      </c>
      <c r="J67" s="454">
        <v>68676.290322580651</v>
      </c>
      <c r="K67" s="454">
        <v>79554.322580645166</v>
      </c>
      <c r="L67" s="454">
        <v>55142.741935483871</v>
      </c>
      <c r="M67" s="454">
        <v>55802.709677419356</v>
      </c>
      <c r="N67" s="454">
        <v>54649.516129032258</v>
      </c>
      <c r="O67" s="454">
        <v>36983.645161290326</v>
      </c>
      <c r="P67" s="454">
        <v>23801.935483870966</v>
      </c>
      <c r="Q67" s="463">
        <f>SUM(D67:P67)</f>
        <v>873741.16129032255</v>
      </c>
      <c r="R67" s="463">
        <v>843151.4</v>
      </c>
      <c r="S67" s="464">
        <v>809417.48387096787</v>
      </c>
    </row>
    <row r="68" spans="1:19" s="435" customFormat="1" ht="15" thickBot="1">
      <c r="A68" s="603"/>
      <c r="B68" s="599" t="s">
        <v>76</v>
      </c>
      <c r="C68" s="605"/>
      <c r="D68" s="475">
        <f t="shared" ref="D68:Q68" si="36">SUM(D67/D17)</f>
        <v>577.22330582645668</v>
      </c>
      <c r="E68" s="475">
        <f t="shared" si="36"/>
        <v>494.53869205006168</v>
      </c>
      <c r="F68" s="475">
        <f t="shared" si="36"/>
        <v>610.04635603345287</v>
      </c>
      <c r="G68" s="475">
        <f t="shared" si="36"/>
        <v>717.70403666490392</v>
      </c>
      <c r="H68" s="475">
        <f t="shared" si="36"/>
        <v>640.92948900942054</v>
      </c>
      <c r="I68" s="475">
        <f t="shared" si="36"/>
        <v>717.11169956668277</v>
      </c>
      <c r="J68" s="475">
        <f t="shared" si="36"/>
        <v>592.03698553948834</v>
      </c>
      <c r="K68" s="475">
        <f t="shared" si="36"/>
        <v>519.96289268395537</v>
      </c>
      <c r="L68" s="475">
        <f t="shared" si="36"/>
        <v>574.40356182795699</v>
      </c>
      <c r="M68" s="475">
        <f t="shared" si="36"/>
        <v>531.45437788018432</v>
      </c>
      <c r="N68" s="475">
        <f t="shared" si="36"/>
        <v>666.45751376868611</v>
      </c>
      <c r="O68" s="475">
        <f t="shared" si="36"/>
        <v>596.5104058272633</v>
      </c>
      <c r="P68" s="475">
        <f t="shared" si="36"/>
        <v>566.71274961597533</v>
      </c>
      <c r="Q68" s="475">
        <f t="shared" si="36"/>
        <v>596.00352066188441</v>
      </c>
      <c r="R68" s="475">
        <v>585.11547536433034</v>
      </c>
      <c r="S68" s="559">
        <v>586.10969143444447</v>
      </c>
    </row>
    <row r="69" spans="1:19" s="438" customFormat="1" ht="26.25" thickTop="1">
      <c r="A69" s="594">
        <v>18</v>
      </c>
      <c r="B69" s="588" t="s">
        <v>77</v>
      </c>
      <c r="C69" s="596"/>
      <c r="D69" s="400" t="s">
        <v>72</v>
      </c>
      <c r="E69" s="400" t="s">
        <v>72</v>
      </c>
      <c r="F69" s="400" t="s">
        <v>72</v>
      </c>
      <c r="G69" s="400" t="s">
        <v>72</v>
      </c>
      <c r="H69" s="400" t="s">
        <v>72</v>
      </c>
      <c r="I69" s="400" t="s">
        <v>72</v>
      </c>
      <c r="J69" s="400" t="s">
        <v>72</v>
      </c>
      <c r="K69" s="400" t="s">
        <v>72</v>
      </c>
      <c r="L69" s="400" t="s">
        <v>72</v>
      </c>
      <c r="M69" s="400" t="s">
        <v>72</v>
      </c>
      <c r="N69" s="400" t="s">
        <v>72</v>
      </c>
      <c r="O69" s="400" t="s">
        <v>72</v>
      </c>
      <c r="P69" s="400" t="s">
        <v>72</v>
      </c>
      <c r="Q69" s="400">
        <v>634200</v>
      </c>
      <c r="R69" s="400">
        <v>627200</v>
      </c>
      <c r="S69" s="483">
        <v>758500</v>
      </c>
    </row>
    <row r="70" spans="1:19" s="435" customFormat="1" ht="25.5">
      <c r="A70" s="587">
        <v>19</v>
      </c>
      <c r="B70" s="588" t="s">
        <v>78</v>
      </c>
      <c r="C70" s="596"/>
      <c r="D70" s="399" t="s">
        <v>72</v>
      </c>
      <c r="E70" s="399" t="s">
        <v>72</v>
      </c>
      <c r="F70" s="399" t="s">
        <v>72</v>
      </c>
      <c r="G70" s="399" t="s">
        <v>72</v>
      </c>
      <c r="H70" s="399" t="s">
        <v>72</v>
      </c>
      <c r="I70" s="399" t="s">
        <v>72</v>
      </c>
      <c r="J70" s="399" t="s">
        <v>72</v>
      </c>
      <c r="K70" s="399" t="s">
        <v>72</v>
      </c>
      <c r="L70" s="399" t="s">
        <v>72</v>
      </c>
      <c r="M70" s="399" t="s">
        <v>72</v>
      </c>
      <c r="N70" s="399" t="s">
        <v>72</v>
      </c>
      <c r="O70" s="399" t="s">
        <v>72</v>
      </c>
      <c r="P70" s="399" t="s">
        <v>72</v>
      </c>
      <c r="Q70" s="399">
        <v>10</v>
      </c>
      <c r="R70" s="399">
        <v>3</v>
      </c>
      <c r="S70" s="449">
        <v>12</v>
      </c>
    </row>
    <row r="71" spans="1:19" s="435" customFormat="1">
      <c r="A71" s="603"/>
      <c r="B71" s="599" t="s">
        <v>79</v>
      </c>
      <c r="C71" s="605"/>
      <c r="D71" s="146" t="s">
        <v>72</v>
      </c>
      <c r="E71" s="146" t="s">
        <v>72</v>
      </c>
      <c r="F71" s="146" t="s">
        <v>72</v>
      </c>
      <c r="G71" s="146" t="s">
        <v>72</v>
      </c>
      <c r="H71" s="146" t="s">
        <v>72</v>
      </c>
      <c r="I71" s="146" t="s">
        <v>72</v>
      </c>
      <c r="J71" s="146" t="s">
        <v>72</v>
      </c>
      <c r="K71" s="146" t="s">
        <v>72</v>
      </c>
      <c r="L71" s="146" t="s">
        <v>72</v>
      </c>
      <c r="M71" s="146" t="s">
        <v>72</v>
      </c>
      <c r="N71" s="146" t="s">
        <v>72</v>
      </c>
      <c r="O71" s="146" t="s">
        <v>72</v>
      </c>
      <c r="P71" s="146" t="s">
        <v>72</v>
      </c>
      <c r="Q71" s="146">
        <v>111</v>
      </c>
      <c r="R71" s="146">
        <v>17</v>
      </c>
      <c r="S71" s="525">
        <v>176</v>
      </c>
    </row>
    <row r="72" spans="1:19" s="435" customFormat="1" ht="25.5">
      <c r="A72" s="587">
        <v>20</v>
      </c>
      <c r="B72" s="588" t="s">
        <v>80</v>
      </c>
      <c r="C72" s="596"/>
      <c r="D72" s="399" t="s">
        <v>72</v>
      </c>
      <c r="E72" s="399" t="s">
        <v>72</v>
      </c>
      <c r="F72" s="399" t="s">
        <v>72</v>
      </c>
      <c r="G72" s="399" t="s">
        <v>72</v>
      </c>
      <c r="H72" s="399" t="s">
        <v>72</v>
      </c>
      <c r="I72" s="399" t="s">
        <v>72</v>
      </c>
      <c r="J72" s="399" t="s">
        <v>72</v>
      </c>
      <c r="K72" s="399" t="s">
        <v>72</v>
      </c>
      <c r="L72" s="399" t="s">
        <v>72</v>
      </c>
      <c r="M72" s="399" t="s">
        <v>72</v>
      </c>
      <c r="N72" s="399" t="s">
        <v>72</v>
      </c>
      <c r="O72" s="399" t="s">
        <v>72</v>
      </c>
      <c r="P72" s="399" t="s">
        <v>72</v>
      </c>
      <c r="Q72" s="399">
        <v>40125</v>
      </c>
      <c r="R72" s="399">
        <v>38401</v>
      </c>
      <c r="S72" s="449">
        <v>35351</v>
      </c>
    </row>
    <row r="73" spans="1:19" s="438" customFormat="1" ht="25.5">
      <c r="A73" s="404"/>
      <c r="B73" s="405" t="s">
        <v>177</v>
      </c>
      <c r="C73" s="628"/>
      <c r="D73" s="401" t="s">
        <v>72</v>
      </c>
      <c r="E73" s="401" t="s">
        <v>72</v>
      </c>
      <c r="F73" s="401" t="s">
        <v>72</v>
      </c>
      <c r="G73" s="401" t="s">
        <v>72</v>
      </c>
      <c r="H73" s="401" t="s">
        <v>72</v>
      </c>
      <c r="I73" s="401" t="s">
        <v>72</v>
      </c>
      <c r="J73" s="401" t="s">
        <v>72</v>
      </c>
      <c r="K73" s="401" t="s">
        <v>72</v>
      </c>
      <c r="L73" s="401" t="s">
        <v>72</v>
      </c>
      <c r="M73" s="401" t="s">
        <v>72</v>
      </c>
      <c r="N73" s="401" t="s">
        <v>72</v>
      </c>
      <c r="O73" s="401" t="s">
        <v>72</v>
      </c>
      <c r="P73" s="401" t="s">
        <v>72</v>
      </c>
      <c r="Q73" s="401">
        <v>27074370</v>
      </c>
      <c r="R73" s="401">
        <v>25827400</v>
      </c>
      <c r="S73" s="484">
        <v>24447060</v>
      </c>
    </row>
    <row r="74" spans="1:19" s="438" customFormat="1" ht="25.5">
      <c r="A74" s="598"/>
      <c r="B74" s="599" t="s">
        <v>82</v>
      </c>
      <c r="C74" s="605"/>
      <c r="D74" s="619" t="s">
        <v>72</v>
      </c>
      <c r="E74" s="619" t="s">
        <v>72</v>
      </c>
      <c r="F74" s="619" t="s">
        <v>72</v>
      </c>
      <c r="G74" s="619" t="s">
        <v>72</v>
      </c>
      <c r="H74" s="619" t="s">
        <v>72</v>
      </c>
      <c r="I74" s="619" t="s">
        <v>72</v>
      </c>
      <c r="J74" s="619" t="s">
        <v>72</v>
      </c>
      <c r="K74" s="619" t="s">
        <v>72</v>
      </c>
      <c r="L74" s="619" t="s">
        <v>72</v>
      </c>
      <c r="M74" s="619" t="s">
        <v>72</v>
      </c>
      <c r="N74" s="619" t="s">
        <v>72</v>
      </c>
      <c r="O74" s="619" t="s">
        <v>72</v>
      </c>
      <c r="P74" s="619" t="s">
        <v>72</v>
      </c>
      <c r="Q74" s="492">
        <f>SUM(Q73/Q36)</f>
        <v>2.7810374337889683</v>
      </c>
      <c r="R74" s="492">
        <v>2.8441814226413245</v>
      </c>
      <c r="S74" s="493">
        <v>2.7515036046218215</v>
      </c>
    </row>
    <row r="75" spans="1:19" s="438" customFormat="1">
      <c r="A75" s="594">
        <v>21</v>
      </c>
      <c r="B75" s="588" t="s">
        <v>83</v>
      </c>
      <c r="C75" s="596"/>
      <c r="D75" s="400" t="s">
        <v>72</v>
      </c>
      <c r="E75" s="400" t="s">
        <v>72</v>
      </c>
      <c r="F75" s="400" t="s">
        <v>72</v>
      </c>
      <c r="G75" s="400" t="s">
        <v>72</v>
      </c>
      <c r="H75" s="400" t="s">
        <v>72</v>
      </c>
      <c r="I75" s="400" t="s">
        <v>72</v>
      </c>
      <c r="J75" s="400" t="s">
        <v>72</v>
      </c>
      <c r="K75" s="400" t="s">
        <v>72</v>
      </c>
      <c r="L75" s="400" t="s">
        <v>72</v>
      </c>
      <c r="M75" s="400" t="s">
        <v>72</v>
      </c>
      <c r="N75" s="400" t="s">
        <v>72</v>
      </c>
      <c r="O75" s="400" t="s">
        <v>72</v>
      </c>
      <c r="P75" s="400" t="s">
        <v>72</v>
      </c>
      <c r="Q75" s="400">
        <f>SUM(C76:C82)</f>
        <v>586948</v>
      </c>
      <c r="R75" s="400">
        <v>537561</v>
      </c>
      <c r="S75" s="483">
        <v>565808</v>
      </c>
    </row>
    <row r="76" spans="1:19" ht="25.5">
      <c r="A76" s="404"/>
      <c r="B76" s="405" t="s">
        <v>84</v>
      </c>
      <c r="C76" s="628">
        <v>142570</v>
      </c>
      <c r="D76" s="401" t="s">
        <v>72</v>
      </c>
      <c r="E76" s="401" t="s">
        <v>72</v>
      </c>
      <c r="F76" s="401" t="s">
        <v>72</v>
      </c>
      <c r="G76" s="401" t="s">
        <v>72</v>
      </c>
      <c r="H76" s="401" t="s">
        <v>72</v>
      </c>
      <c r="I76" s="401" t="s">
        <v>72</v>
      </c>
      <c r="J76" s="401" t="s">
        <v>72</v>
      </c>
      <c r="K76" s="401" t="s">
        <v>72</v>
      </c>
      <c r="L76" s="401" t="s">
        <v>72</v>
      </c>
      <c r="M76" s="401" t="s">
        <v>72</v>
      </c>
      <c r="N76" s="401" t="s">
        <v>72</v>
      </c>
      <c r="O76" s="401" t="s">
        <v>72</v>
      </c>
      <c r="P76" s="401" t="s">
        <v>72</v>
      </c>
      <c r="Q76" s="401" t="s">
        <v>72</v>
      </c>
      <c r="R76" s="401" t="s">
        <v>72</v>
      </c>
      <c r="S76" s="484"/>
    </row>
    <row r="77" spans="1:19">
      <c r="A77" s="404"/>
      <c r="B77" s="405" t="s">
        <v>85</v>
      </c>
      <c r="C77" s="628">
        <v>414002</v>
      </c>
      <c r="D77" s="401" t="s">
        <v>72</v>
      </c>
      <c r="E77" s="401" t="s">
        <v>72</v>
      </c>
      <c r="F77" s="401" t="s">
        <v>72</v>
      </c>
      <c r="G77" s="401" t="s">
        <v>72</v>
      </c>
      <c r="H77" s="401" t="s">
        <v>72</v>
      </c>
      <c r="I77" s="401" t="s">
        <v>72</v>
      </c>
      <c r="J77" s="401" t="s">
        <v>72</v>
      </c>
      <c r="K77" s="401" t="s">
        <v>72</v>
      </c>
      <c r="L77" s="401" t="s">
        <v>72</v>
      </c>
      <c r="M77" s="401" t="s">
        <v>72</v>
      </c>
      <c r="N77" s="401" t="s">
        <v>72</v>
      </c>
      <c r="O77" s="401" t="s">
        <v>72</v>
      </c>
      <c r="P77" s="401" t="s">
        <v>72</v>
      </c>
      <c r="Q77" s="401" t="s">
        <v>72</v>
      </c>
      <c r="R77" s="401" t="s">
        <v>72</v>
      </c>
      <c r="S77" s="484"/>
    </row>
    <row r="78" spans="1:19" ht="25.5">
      <c r="A78" s="404"/>
      <c r="B78" s="405" t="s">
        <v>86</v>
      </c>
      <c r="C78" s="628">
        <v>8870</v>
      </c>
      <c r="D78" s="401" t="s">
        <v>72</v>
      </c>
      <c r="E78" s="401" t="s">
        <v>72</v>
      </c>
      <c r="F78" s="401" t="s">
        <v>72</v>
      </c>
      <c r="G78" s="401" t="s">
        <v>72</v>
      </c>
      <c r="H78" s="401" t="s">
        <v>72</v>
      </c>
      <c r="I78" s="401" t="s">
        <v>72</v>
      </c>
      <c r="J78" s="401" t="s">
        <v>72</v>
      </c>
      <c r="K78" s="401" t="s">
        <v>72</v>
      </c>
      <c r="L78" s="401" t="s">
        <v>72</v>
      </c>
      <c r="M78" s="401" t="s">
        <v>72</v>
      </c>
      <c r="N78" s="401" t="s">
        <v>72</v>
      </c>
      <c r="O78" s="401" t="s">
        <v>72</v>
      </c>
      <c r="P78" s="401" t="s">
        <v>72</v>
      </c>
      <c r="Q78" s="401" t="s">
        <v>72</v>
      </c>
      <c r="R78" s="401" t="s">
        <v>72</v>
      </c>
      <c r="S78" s="484"/>
    </row>
    <row r="79" spans="1:19">
      <c r="A79" s="404"/>
      <c r="B79" s="602" t="s">
        <v>87</v>
      </c>
      <c r="C79" s="628">
        <v>1365</v>
      </c>
      <c r="D79" s="401" t="s">
        <v>72</v>
      </c>
      <c r="E79" s="401" t="s">
        <v>72</v>
      </c>
      <c r="F79" s="401" t="s">
        <v>72</v>
      </c>
      <c r="G79" s="401" t="s">
        <v>72</v>
      </c>
      <c r="H79" s="401" t="s">
        <v>72</v>
      </c>
      <c r="I79" s="401" t="s">
        <v>72</v>
      </c>
      <c r="J79" s="401" t="s">
        <v>72</v>
      </c>
      <c r="K79" s="401" t="s">
        <v>72</v>
      </c>
      <c r="L79" s="401" t="s">
        <v>72</v>
      </c>
      <c r="M79" s="401" t="s">
        <v>72</v>
      </c>
      <c r="N79" s="401" t="s">
        <v>72</v>
      </c>
      <c r="O79" s="401" t="s">
        <v>72</v>
      </c>
      <c r="P79" s="401" t="s">
        <v>72</v>
      </c>
      <c r="Q79" s="401" t="s">
        <v>72</v>
      </c>
      <c r="R79" s="401" t="s">
        <v>72</v>
      </c>
      <c r="S79" s="484"/>
    </row>
    <row r="80" spans="1:19" ht="25.5">
      <c r="A80" s="594"/>
      <c r="B80" s="588" t="s">
        <v>88</v>
      </c>
      <c r="C80" s="628">
        <v>14563</v>
      </c>
      <c r="D80" s="400" t="s">
        <v>72</v>
      </c>
      <c r="E80" s="400" t="s">
        <v>72</v>
      </c>
      <c r="F80" s="400" t="s">
        <v>72</v>
      </c>
      <c r="G80" s="400" t="s">
        <v>72</v>
      </c>
      <c r="H80" s="400" t="s">
        <v>72</v>
      </c>
      <c r="I80" s="400" t="s">
        <v>72</v>
      </c>
      <c r="J80" s="400" t="s">
        <v>72</v>
      </c>
      <c r="K80" s="400" t="s">
        <v>72</v>
      </c>
      <c r="L80" s="400" t="s">
        <v>72</v>
      </c>
      <c r="M80" s="400" t="s">
        <v>72</v>
      </c>
      <c r="N80" s="400" t="s">
        <v>72</v>
      </c>
      <c r="O80" s="400" t="s">
        <v>72</v>
      </c>
      <c r="P80" s="400" t="s">
        <v>72</v>
      </c>
      <c r="Q80" s="400" t="s">
        <v>72</v>
      </c>
      <c r="R80" s="400" t="s">
        <v>72</v>
      </c>
      <c r="S80" s="483"/>
    </row>
    <row r="81" spans="1:19">
      <c r="A81" s="594"/>
      <c r="B81" s="588" t="s">
        <v>89</v>
      </c>
      <c r="C81" s="628">
        <v>1755</v>
      </c>
      <c r="D81" s="400" t="s">
        <v>72</v>
      </c>
      <c r="E81" s="400" t="s">
        <v>72</v>
      </c>
      <c r="F81" s="400" t="s">
        <v>72</v>
      </c>
      <c r="G81" s="400" t="s">
        <v>72</v>
      </c>
      <c r="H81" s="400" t="s">
        <v>72</v>
      </c>
      <c r="I81" s="400" t="s">
        <v>72</v>
      </c>
      <c r="J81" s="400" t="s">
        <v>72</v>
      </c>
      <c r="K81" s="400" t="s">
        <v>72</v>
      </c>
      <c r="L81" s="400" t="s">
        <v>72</v>
      </c>
      <c r="M81" s="400" t="s">
        <v>72</v>
      </c>
      <c r="N81" s="400" t="s">
        <v>72</v>
      </c>
      <c r="O81" s="400" t="s">
        <v>72</v>
      </c>
      <c r="P81" s="400" t="s">
        <v>72</v>
      </c>
      <c r="Q81" s="400" t="s">
        <v>72</v>
      </c>
      <c r="R81" s="400" t="s">
        <v>72</v>
      </c>
      <c r="S81" s="483"/>
    </row>
    <row r="82" spans="1:19">
      <c r="A82" s="594"/>
      <c r="B82" s="588" t="s">
        <v>90</v>
      </c>
      <c r="C82" s="628">
        <v>3823</v>
      </c>
      <c r="D82" s="400" t="s">
        <v>72</v>
      </c>
      <c r="E82" s="400" t="s">
        <v>72</v>
      </c>
      <c r="F82" s="400" t="s">
        <v>72</v>
      </c>
      <c r="G82" s="400" t="s">
        <v>72</v>
      </c>
      <c r="H82" s="400" t="s">
        <v>72</v>
      </c>
      <c r="I82" s="400" t="s">
        <v>72</v>
      </c>
      <c r="J82" s="400" t="s">
        <v>72</v>
      </c>
      <c r="K82" s="400" t="s">
        <v>72</v>
      </c>
      <c r="L82" s="400" t="s">
        <v>72</v>
      </c>
      <c r="M82" s="400" t="s">
        <v>72</v>
      </c>
      <c r="N82" s="400" t="s">
        <v>72</v>
      </c>
      <c r="O82" s="400" t="s">
        <v>72</v>
      </c>
      <c r="P82" s="400" t="s">
        <v>72</v>
      </c>
      <c r="Q82" s="400" t="s">
        <v>72</v>
      </c>
      <c r="R82" s="400" t="s">
        <v>72</v>
      </c>
      <c r="S82" s="483"/>
    </row>
    <row r="83" spans="1:19" s="438" customFormat="1" ht="25.5">
      <c r="A83" s="404"/>
      <c r="B83" s="405" t="s">
        <v>91</v>
      </c>
      <c r="C83" s="633"/>
      <c r="D83" s="401" t="s">
        <v>72</v>
      </c>
      <c r="E83" s="401" t="s">
        <v>72</v>
      </c>
      <c r="F83" s="401" t="s">
        <v>72</v>
      </c>
      <c r="G83" s="401" t="s">
        <v>72</v>
      </c>
      <c r="H83" s="401" t="s">
        <v>72</v>
      </c>
      <c r="I83" s="401" t="s">
        <v>72</v>
      </c>
      <c r="J83" s="401" t="s">
        <v>72</v>
      </c>
      <c r="K83" s="401" t="s">
        <v>72</v>
      </c>
      <c r="L83" s="401" t="s">
        <v>72</v>
      </c>
      <c r="M83" s="401" t="s">
        <v>72</v>
      </c>
      <c r="N83" s="401" t="s">
        <v>72</v>
      </c>
      <c r="O83" s="401" t="s">
        <v>72</v>
      </c>
      <c r="P83" s="401" t="s">
        <v>72</v>
      </c>
      <c r="Q83" s="463">
        <v>63988020</v>
      </c>
      <c r="R83" s="634">
        <v>59814020</v>
      </c>
      <c r="S83" s="556">
        <v>62066380</v>
      </c>
    </row>
    <row r="84" spans="1:19" s="438" customFormat="1" ht="26.25" thickBot="1">
      <c r="A84" s="629"/>
      <c r="B84" s="630" t="s">
        <v>92</v>
      </c>
      <c r="C84" s="635"/>
      <c r="D84" s="402" t="s">
        <v>72</v>
      </c>
      <c r="E84" s="402" t="s">
        <v>72</v>
      </c>
      <c r="F84" s="402" t="s">
        <v>72</v>
      </c>
      <c r="G84" s="402" t="s">
        <v>72</v>
      </c>
      <c r="H84" s="402" t="s">
        <v>72</v>
      </c>
      <c r="I84" s="402" t="s">
        <v>72</v>
      </c>
      <c r="J84" s="402" t="s">
        <v>72</v>
      </c>
      <c r="K84" s="402" t="s">
        <v>72</v>
      </c>
      <c r="L84" s="402" t="s">
        <v>72</v>
      </c>
      <c r="M84" s="402" t="s">
        <v>72</v>
      </c>
      <c r="N84" s="402" t="s">
        <v>72</v>
      </c>
      <c r="O84" s="402" t="s">
        <v>72</v>
      </c>
      <c r="P84" s="402" t="s">
        <v>72</v>
      </c>
      <c r="Q84" s="518">
        <f>SUM(Q83/Q36)</f>
        <v>6.5727504992373671</v>
      </c>
      <c r="R84" s="636">
        <v>6.5868776763242387</v>
      </c>
      <c r="S84" s="636">
        <v>6.9855380686196105</v>
      </c>
    </row>
    <row r="85" spans="1:19" s="438" customFormat="1" ht="15" thickTop="1">
      <c r="A85" s="594" t="s">
        <v>93</v>
      </c>
      <c r="B85" s="588" t="s">
        <v>94</v>
      </c>
      <c r="C85" s="637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529"/>
      <c r="R85" s="529"/>
      <c r="S85" s="464"/>
    </row>
    <row r="86" spans="1:19" s="438" customFormat="1">
      <c r="A86" s="404"/>
      <c r="B86" s="405" t="s">
        <v>95</v>
      </c>
      <c r="C86" s="406"/>
      <c r="D86" s="401" t="s">
        <v>72</v>
      </c>
      <c r="E86" s="401" t="s">
        <v>72</v>
      </c>
      <c r="F86" s="401" t="s">
        <v>72</v>
      </c>
      <c r="G86" s="401" t="s">
        <v>72</v>
      </c>
      <c r="H86" s="401" t="s">
        <v>72</v>
      </c>
      <c r="I86" s="401" t="s">
        <v>72</v>
      </c>
      <c r="J86" s="401" t="s">
        <v>72</v>
      </c>
      <c r="K86" s="401" t="s">
        <v>72</v>
      </c>
      <c r="L86" s="401" t="s">
        <v>72</v>
      </c>
      <c r="M86" s="401" t="s">
        <v>72</v>
      </c>
      <c r="N86" s="401" t="s">
        <v>72</v>
      </c>
      <c r="O86" s="401" t="s">
        <v>72</v>
      </c>
      <c r="P86" s="401" t="s">
        <v>72</v>
      </c>
      <c r="Q86" s="401">
        <v>2</v>
      </c>
      <c r="R86" s="401">
        <v>1</v>
      </c>
      <c r="S86" s="484">
        <v>1</v>
      </c>
    </row>
    <row r="87" spans="1:19" s="438" customFormat="1">
      <c r="A87" s="404"/>
      <c r="B87" s="405" t="s">
        <v>96</v>
      </c>
      <c r="C87" s="406"/>
      <c r="D87" s="401" t="s">
        <v>72</v>
      </c>
      <c r="E87" s="401" t="s">
        <v>72</v>
      </c>
      <c r="F87" s="401" t="s">
        <v>72</v>
      </c>
      <c r="G87" s="401" t="s">
        <v>72</v>
      </c>
      <c r="H87" s="401" t="s">
        <v>72</v>
      </c>
      <c r="I87" s="401" t="s">
        <v>72</v>
      </c>
      <c r="J87" s="401" t="s">
        <v>72</v>
      </c>
      <c r="K87" s="401" t="s">
        <v>72</v>
      </c>
      <c r="L87" s="401" t="s">
        <v>72</v>
      </c>
      <c r="M87" s="401" t="s">
        <v>72</v>
      </c>
      <c r="N87" s="401" t="s">
        <v>72</v>
      </c>
      <c r="O87" s="401" t="s">
        <v>72</v>
      </c>
      <c r="P87" s="401" t="s">
        <v>72</v>
      </c>
      <c r="Q87" s="401">
        <v>2</v>
      </c>
      <c r="R87" s="401">
        <v>3</v>
      </c>
      <c r="S87" s="484">
        <v>2</v>
      </c>
    </row>
    <row r="88" spans="1:19" s="438" customFormat="1">
      <c r="A88" s="404"/>
      <c r="B88" s="405" t="s">
        <v>97</v>
      </c>
      <c r="C88" s="406"/>
      <c r="D88" s="401" t="s">
        <v>72</v>
      </c>
      <c r="E88" s="401" t="s">
        <v>72</v>
      </c>
      <c r="F88" s="401" t="s">
        <v>72</v>
      </c>
      <c r="G88" s="401" t="s">
        <v>72</v>
      </c>
      <c r="H88" s="401" t="s">
        <v>72</v>
      </c>
      <c r="I88" s="401" t="s">
        <v>72</v>
      </c>
      <c r="J88" s="401" t="s">
        <v>72</v>
      </c>
      <c r="K88" s="401" t="s">
        <v>72</v>
      </c>
      <c r="L88" s="401" t="s">
        <v>72</v>
      </c>
      <c r="M88" s="401" t="s">
        <v>72</v>
      </c>
      <c r="N88" s="401" t="s">
        <v>72</v>
      </c>
      <c r="O88" s="401" t="s">
        <v>72</v>
      </c>
      <c r="P88" s="401" t="s">
        <v>72</v>
      </c>
      <c r="Q88" s="401">
        <v>0</v>
      </c>
      <c r="R88" s="401">
        <v>3</v>
      </c>
      <c r="S88" s="484">
        <v>4</v>
      </c>
    </row>
    <row r="89" spans="1:19" s="438" customFormat="1">
      <c r="A89" s="404"/>
      <c r="B89" s="405" t="s">
        <v>98</v>
      </c>
      <c r="C89" s="406"/>
      <c r="D89" s="401" t="s">
        <v>72</v>
      </c>
      <c r="E89" s="401" t="s">
        <v>72</v>
      </c>
      <c r="F89" s="401" t="s">
        <v>72</v>
      </c>
      <c r="G89" s="401" t="s">
        <v>72</v>
      </c>
      <c r="H89" s="401" t="s">
        <v>72</v>
      </c>
      <c r="I89" s="401" t="s">
        <v>72</v>
      </c>
      <c r="J89" s="401" t="s">
        <v>72</v>
      </c>
      <c r="K89" s="401" t="s">
        <v>72</v>
      </c>
      <c r="L89" s="401" t="s">
        <v>72</v>
      </c>
      <c r="M89" s="401" t="s">
        <v>72</v>
      </c>
      <c r="N89" s="401" t="s">
        <v>72</v>
      </c>
      <c r="O89" s="401" t="s">
        <v>72</v>
      </c>
      <c r="P89" s="401" t="s">
        <v>72</v>
      </c>
      <c r="Q89" s="401">
        <v>6</v>
      </c>
      <c r="R89" s="401">
        <v>3</v>
      </c>
      <c r="S89" s="484">
        <v>1</v>
      </c>
    </row>
    <row r="90" spans="1:19" s="438" customFormat="1">
      <c r="A90" s="404"/>
      <c r="B90" s="405" t="s">
        <v>99</v>
      </c>
      <c r="C90" s="406"/>
      <c r="D90" s="401" t="s">
        <v>72</v>
      </c>
      <c r="E90" s="401" t="s">
        <v>72</v>
      </c>
      <c r="F90" s="401" t="s">
        <v>72</v>
      </c>
      <c r="G90" s="401" t="s">
        <v>72</v>
      </c>
      <c r="H90" s="401" t="s">
        <v>72</v>
      </c>
      <c r="I90" s="401" t="s">
        <v>72</v>
      </c>
      <c r="J90" s="401" t="s">
        <v>72</v>
      </c>
      <c r="K90" s="401" t="s">
        <v>72</v>
      </c>
      <c r="L90" s="401" t="s">
        <v>72</v>
      </c>
      <c r="M90" s="401" t="s">
        <v>72</v>
      </c>
      <c r="N90" s="401" t="s">
        <v>72</v>
      </c>
      <c r="O90" s="401" t="s">
        <v>72</v>
      </c>
      <c r="P90" s="401" t="s">
        <v>72</v>
      </c>
      <c r="Q90" s="401">
        <f>SUM(Q86:Q89)</f>
        <v>10</v>
      </c>
      <c r="R90" s="401">
        <v>10</v>
      </c>
      <c r="S90" s="484">
        <v>8</v>
      </c>
    </row>
    <row r="91" spans="1:19" s="438" customFormat="1" ht="25.5">
      <c r="A91" s="598"/>
      <c r="B91" s="599" t="s">
        <v>100</v>
      </c>
      <c r="C91" s="638"/>
      <c r="D91" s="619" t="s">
        <v>72</v>
      </c>
      <c r="E91" s="619" t="s">
        <v>72</v>
      </c>
      <c r="F91" s="619" t="s">
        <v>72</v>
      </c>
      <c r="G91" s="619" t="s">
        <v>72</v>
      </c>
      <c r="H91" s="619" t="s">
        <v>72</v>
      </c>
      <c r="I91" s="619" t="s">
        <v>72</v>
      </c>
      <c r="J91" s="619" t="s">
        <v>72</v>
      </c>
      <c r="K91" s="619" t="s">
        <v>72</v>
      </c>
      <c r="L91" s="619" t="s">
        <v>72</v>
      </c>
      <c r="M91" s="619" t="s">
        <v>72</v>
      </c>
      <c r="N91" s="619" t="s">
        <v>72</v>
      </c>
      <c r="O91" s="619" t="s">
        <v>72</v>
      </c>
      <c r="P91" s="619" t="s">
        <v>72</v>
      </c>
      <c r="Q91" s="492">
        <f>Q90/Q50*100000</f>
        <v>0.14492520482641513</v>
      </c>
      <c r="R91" s="492">
        <v>0.15447572560724021</v>
      </c>
      <c r="S91" s="493">
        <v>0.12483621099004946</v>
      </c>
    </row>
    <row r="92" spans="1:19" s="438" customFormat="1">
      <c r="A92" s="639" t="s">
        <v>19</v>
      </c>
      <c r="B92" s="588" t="s">
        <v>101</v>
      </c>
      <c r="C92" s="640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533"/>
      <c r="R92" s="533"/>
      <c r="S92" s="534"/>
    </row>
    <row r="93" spans="1:19" s="438" customFormat="1">
      <c r="A93" s="639"/>
      <c r="B93" s="405" t="s">
        <v>95</v>
      </c>
      <c r="C93" s="406"/>
      <c r="D93" s="401" t="s">
        <v>72</v>
      </c>
      <c r="E93" s="401" t="s">
        <v>72</v>
      </c>
      <c r="F93" s="401" t="s">
        <v>72</v>
      </c>
      <c r="G93" s="401" t="s">
        <v>72</v>
      </c>
      <c r="H93" s="401" t="s">
        <v>72</v>
      </c>
      <c r="I93" s="401" t="s">
        <v>72</v>
      </c>
      <c r="J93" s="401" t="s">
        <v>72</v>
      </c>
      <c r="K93" s="401" t="s">
        <v>72</v>
      </c>
      <c r="L93" s="401" t="s">
        <v>72</v>
      </c>
      <c r="M93" s="401" t="s">
        <v>72</v>
      </c>
      <c r="N93" s="401" t="s">
        <v>72</v>
      </c>
      <c r="O93" s="401" t="s">
        <v>72</v>
      </c>
      <c r="P93" s="401" t="s">
        <v>72</v>
      </c>
      <c r="Q93" s="401">
        <v>0</v>
      </c>
      <c r="R93" s="401">
        <v>3</v>
      </c>
      <c r="S93" s="484">
        <v>1</v>
      </c>
    </row>
    <row r="94" spans="1:19" s="438" customFormat="1">
      <c r="A94" s="639"/>
      <c r="B94" s="405" t="s">
        <v>96</v>
      </c>
      <c r="C94" s="406"/>
      <c r="D94" s="401" t="s">
        <v>72</v>
      </c>
      <c r="E94" s="401" t="s">
        <v>72</v>
      </c>
      <c r="F94" s="401" t="s">
        <v>72</v>
      </c>
      <c r="G94" s="401" t="s">
        <v>72</v>
      </c>
      <c r="H94" s="401" t="s">
        <v>72</v>
      </c>
      <c r="I94" s="401" t="s">
        <v>72</v>
      </c>
      <c r="J94" s="401" t="s">
        <v>72</v>
      </c>
      <c r="K94" s="401" t="s">
        <v>72</v>
      </c>
      <c r="L94" s="401" t="s">
        <v>72</v>
      </c>
      <c r="M94" s="401" t="s">
        <v>72</v>
      </c>
      <c r="N94" s="401" t="s">
        <v>72</v>
      </c>
      <c r="O94" s="401" t="s">
        <v>72</v>
      </c>
      <c r="P94" s="401" t="s">
        <v>72</v>
      </c>
      <c r="Q94" s="401">
        <v>4</v>
      </c>
      <c r="R94" s="401">
        <v>1</v>
      </c>
      <c r="S94" s="484">
        <v>1</v>
      </c>
    </row>
    <row r="95" spans="1:19" s="438" customFormat="1">
      <c r="A95" s="639"/>
      <c r="B95" s="405" t="s">
        <v>97</v>
      </c>
      <c r="C95" s="406"/>
      <c r="D95" s="401" t="s">
        <v>72</v>
      </c>
      <c r="E95" s="401" t="s">
        <v>72</v>
      </c>
      <c r="F95" s="401" t="s">
        <v>72</v>
      </c>
      <c r="G95" s="401" t="s">
        <v>72</v>
      </c>
      <c r="H95" s="401" t="s">
        <v>72</v>
      </c>
      <c r="I95" s="401" t="s">
        <v>72</v>
      </c>
      <c r="J95" s="401" t="s">
        <v>72</v>
      </c>
      <c r="K95" s="401" t="s">
        <v>72</v>
      </c>
      <c r="L95" s="401" t="s">
        <v>72</v>
      </c>
      <c r="M95" s="401" t="s">
        <v>72</v>
      </c>
      <c r="N95" s="401" t="s">
        <v>72</v>
      </c>
      <c r="O95" s="401" t="s">
        <v>72</v>
      </c>
      <c r="P95" s="401" t="s">
        <v>72</v>
      </c>
      <c r="Q95" s="401">
        <v>0</v>
      </c>
      <c r="R95" s="401">
        <v>1</v>
      </c>
      <c r="S95" s="484">
        <v>5</v>
      </c>
    </row>
    <row r="96" spans="1:19" s="438" customFormat="1">
      <c r="A96" s="639"/>
      <c r="B96" s="405" t="s">
        <v>98</v>
      </c>
      <c r="C96" s="406"/>
      <c r="D96" s="401" t="s">
        <v>72</v>
      </c>
      <c r="E96" s="401" t="s">
        <v>72</v>
      </c>
      <c r="F96" s="401" t="s">
        <v>72</v>
      </c>
      <c r="G96" s="401" t="s">
        <v>72</v>
      </c>
      <c r="H96" s="401" t="s">
        <v>72</v>
      </c>
      <c r="I96" s="401" t="s">
        <v>72</v>
      </c>
      <c r="J96" s="401" t="s">
        <v>72</v>
      </c>
      <c r="K96" s="401" t="s">
        <v>72</v>
      </c>
      <c r="L96" s="401" t="s">
        <v>72</v>
      </c>
      <c r="M96" s="401" t="s">
        <v>72</v>
      </c>
      <c r="N96" s="401" t="s">
        <v>72</v>
      </c>
      <c r="O96" s="401" t="s">
        <v>72</v>
      </c>
      <c r="P96" s="401" t="s">
        <v>72</v>
      </c>
      <c r="Q96" s="401">
        <v>1</v>
      </c>
      <c r="R96" s="401">
        <v>2</v>
      </c>
      <c r="S96" s="484">
        <v>0</v>
      </c>
    </row>
    <row r="97" spans="1:19" s="438" customFormat="1">
      <c r="A97" s="639"/>
      <c r="B97" s="617" t="s">
        <v>99</v>
      </c>
      <c r="C97" s="641"/>
      <c r="D97" s="536" t="s">
        <v>72</v>
      </c>
      <c r="E97" s="536" t="s">
        <v>72</v>
      </c>
      <c r="F97" s="536" t="s">
        <v>72</v>
      </c>
      <c r="G97" s="536" t="s">
        <v>72</v>
      </c>
      <c r="H97" s="536" t="s">
        <v>72</v>
      </c>
      <c r="I97" s="536" t="s">
        <v>72</v>
      </c>
      <c r="J97" s="536" t="s">
        <v>72</v>
      </c>
      <c r="K97" s="536" t="s">
        <v>72</v>
      </c>
      <c r="L97" s="536" t="s">
        <v>72</v>
      </c>
      <c r="M97" s="536" t="s">
        <v>72</v>
      </c>
      <c r="N97" s="536" t="s">
        <v>72</v>
      </c>
      <c r="O97" s="536" t="s">
        <v>72</v>
      </c>
      <c r="P97" s="536" t="s">
        <v>72</v>
      </c>
      <c r="Q97" s="536">
        <f>SUM(Q93:Q96)</f>
        <v>5</v>
      </c>
      <c r="R97" s="536">
        <v>7</v>
      </c>
      <c r="S97" s="537">
        <v>7</v>
      </c>
    </row>
    <row r="98" spans="1:19" s="438" customFormat="1" ht="26.25" thickBot="1">
      <c r="A98" s="629"/>
      <c r="B98" s="630" t="s">
        <v>100</v>
      </c>
      <c r="C98" s="642"/>
      <c r="D98" s="402" t="s">
        <v>72</v>
      </c>
      <c r="E98" s="402" t="s">
        <v>72</v>
      </c>
      <c r="F98" s="402" t="s">
        <v>72</v>
      </c>
      <c r="G98" s="402" t="s">
        <v>72</v>
      </c>
      <c r="H98" s="402" t="s">
        <v>72</v>
      </c>
      <c r="I98" s="402" t="s">
        <v>72</v>
      </c>
      <c r="J98" s="402" t="s">
        <v>72</v>
      </c>
      <c r="K98" s="402" t="s">
        <v>72</v>
      </c>
      <c r="L98" s="402" t="s">
        <v>72</v>
      </c>
      <c r="M98" s="402" t="s">
        <v>72</v>
      </c>
      <c r="N98" s="402" t="s">
        <v>72</v>
      </c>
      <c r="O98" s="402" t="s">
        <v>72</v>
      </c>
      <c r="P98" s="402" t="s">
        <v>72</v>
      </c>
      <c r="Q98" s="518">
        <f>Q97/Q35*100000</f>
        <v>0.1626946926713525</v>
      </c>
      <c r="R98" s="518">
        <v>0.24712435509369191</v>
      </c>
      <c r="S98" s="519">
        <v>0.25904358149215023</v>
      </c>
    </row>
    <row r="99" spans="1:19" s="438" customFormat="1" ht="15" thickTop="1">
      <c r="A99" s="594"/>
      <c r="B99" s="643" t="s">
        <v>102</v>
      </c>
      <c r="C99" s="644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529"/>
      <c r="R99" s="529"/>
      <c r="S99" s="483"/>
    </row>
    <row r="100" spans="1:19" s="438" customFormat="1">
      <c r="A100" s="404">
        <v>23</v>
      </c>
      <c r="B100" s="405" t="s">
        <v>103</v>
      </c>
      <c r="C100" s="466"/>
      <c r="D100" s="399">
        <v>93</v>
      </c>
      <c r="E100" s="399">
        <v>64</v>
      </c>
      <c r="F100" s="399">
        <v>94</v>
      </c>
      <c r="G100" s="399">
        <v>39</v>
      </c>
      <c r="H100" s="399">
        <v>58</v>
      </c>
      <c r="I100" s="399">
        <v>24</v>
      </c>
      <c r="J100" s="399">
        <v>31</v>
      </c>
      <c r="K100" s="399">
        <v>18</v>
      </c>
      <c r="L100" s="399">
        <v>3</v>
      </c>
      <c r="M100" s="399">
        <v>62</v>
      </c>
      <c r="N100" s="399">
        <v>0</v>
      </c>
      <c r="O100" s="399">
        <v>41</v>
      </c>
      <c r="P100" s="399">
        <v>29</v>
      </c>
      <c r="Q100" s="408">
        <f>SUM(D100:P100)</f>
        <v>556</v>
      </c>
      <c r="R100" s="408">
        <v>600</v>
      </c>
      <c r="S100" s="437">
        <v>883</v>
      </c>
    </row>
    <row r="101" spans="1:19" s="435" customFormat="1" ht="25.5">
      <c r="A101" s="603">
        <v>24</v>
      </c>
      <c r="B101" s="599" t="s">
        <v>104</v>
      </c>
      <c r="C101" s="645"/>
      <c r="D101" s="461">
        <f t="shared" ref="D101:Q101" si="37">SUM(D100/D50*10000)</f>
        <v>1.2613384835727617</v>
      </c>
      <c r="E101" s="461">
        <f t="shared" si="37"/>
        <v>0.69991633812520848</v>
      </c>
      <c r="F101" s="461">
        <f t="shared" si="37"/>
        <v>1.2309400715516654</v>
      </c>
      <c r="G101" s="461">
        <f t="shared" si="37"/>
        <v>0.59894033632803501</v>
      </c>
      <c r="H101" s="461">
        <f t="shared" si="37"/>
        <v>0.79289673887039558</v>
      </c>
      <c r="I101" s="461">
        <f t="shared" si="37"/>
        <v>0.62797963252725175</v>
      </c>
      <c r="J101" s="461">
        <f t="shared" si="37"/>
        <v>0.58324506264240117</v>
      </c>
      <c r="K101" s="461">
        <f t="shared" si="37"/>
        <v>0.37894258177791434</v>
      </c>
      <c r="L101" s="461">
        <f t="shared" si="37"/>
        <v>8.0440384290529215E-2</v>
      </c>
      <c r="M101" s="461">
        <f t="shared" si="37"/>
        <v>0.90013313259396588</v>
      </c>
      <c r="N101" s="461" t="e">
        <f t="shared" si="37"/>
        <v>#DIV/0!</v>
      </c>
      <c r="O101" s="461">
        <f t="shared" si="37"/>
        <v>1.1284134506883321</v>
      </c>
      <c r="P101" s="461">
        <f t="shared" si="37"/>
        <v>1.0057361641916309</v>
      </c>
      <c r="Q101" s="461">
        <f t="shared" si="37"/>
        <v>0.80578413883486799</v>
      </c>
      <c r="R101" s="461">
        <v>0.92685435364344126</v>
      </c>
      <c r="S101" s="462">
        <v>1.3778796788026708</v>
      </c>
    </row>
    <row r="102" spans="1:19" s="542" customFormat="1" ht="25.5">
      <c r="A102" s="587">
        <v>25</v>
      </c>
      <c r="B102" s="588" t="s">
        <v>105</v>
      </c>
      <c r="C102" s="644"/>
      <c r="D102" s="399">
        <v>127464</v>
      </c>
      <c r="E102" s="399">
        <v>12688</v>
      </c>
      <c r="F102" s="399">
        <v>122140</v>
      </c>
      <c r="G102" s="399">
        <f>119560+6700</f>
        <v>126260</v>
      </c>
      <c r="H102" s="399">
        <v>123653</v>
      </c>
      <c r="I102" s="399">
        <v>79979</v>
      </c>
      <c r="J102" s="399">
        <v>144798</v>
      </c>
      <c r="K102" s="399">
        <v>59744</v>
      </c>
      <c r="L102" s="399">
        <v>1354</v>
      </c>
      <c r="M102" s="399">
        <v>23466</v>
      </c>
      <c r="N102" s="399">
        <v>0</v>
      </c>
      <c r="O102" s="399">
        <v>13501</v>
      </c>
      <c r="P102" s="399">
        <v>16687</v>
      </c>
      <c r="Q102" s="400">
        <f>SUM(D102:P102)</f>
        <v>851734</v>
      </c>
      <c r="R102" s="400">
        <v>817169</v>
      </c>
      <c r="S102" s="483">
        <v>1254620</v>
      </c>
    </row>
    <row r="103" spans="1:19" s="452" customFormat="1" ht="25.5">
      <c r="A103" s="612"/>
      <c r="B103" s="405" t="s">
        <v>106</v>
      </c>
      <c r="C103" s="646"/>
      <c r="D103" s="388">
        <f>D102/C5</f>
        <v>4111.7419354838712</v>
      </c>
      <c r="E103" s="388">
        <f>E102/C5</f>
        <v>409.29032258064518</v>
      </c>
      <c r="F103" s="388">
        <f>F102/C5</f>
        <v>3940</v>
      </c>
      <c r="G103" s="388">
        <f>G102/C5</f>
        <v>4072.9032258064517</v>
      </c>
      <c r="H103" s="388">
        <f>H102/C5</f>
        <v>3988.8064516129034</v>
      </c>
      <c r="I103" s="388">
        <f>I102/C5</f>
        <v>2579.9677419354839</v>
      </c>
      <c r="J103" s="388">
        <f>J102/C5</f>
        <v>4670.9032258064517</v>
      </c>
      <c r="K103" s="388">
        <f>K102/C5</f>
        <v>1927.2258064516129</v>
      </c>
      <c r="L103" s="388">
        <f>L102/C5</f>
        <v>43.677419354838712</v>
      </c>
      <c r="M103" s="388">
        <f>M102/C5</f>
        <v>756.9677419354839</v>
      </c>
      <c r="N103" s="388">
        <f>N102/C5</f>
        <v>0</v>
      </c>
      <c r="O103" s="388">
        <f>O102/C5</f>
        <v>435.51612903225805</v>
      </c>
      <c r="P103" s="388">
        <f>P102/C5</f>
        <v>538.29032258064512</v>
      </c>
      <c r="Q103" s="388">
        <f>Q102/C5</f>
        <v>27475.290322580644</v>
      </c>
      <c r="R103" s="388">
        <v>27238.966666666667</v>
      </c>
      <c r="S103" s="456">
        <v>40471.612903225803</v>
      </c>
    </row>
    <row r="104" spans="1:19" ht="25.5">
      <c r="A104" s="404"/>
      <c r="B104" s="405" t="s">
        <v>107</v>
      </c>
      <c r="C104" s="406"/>
      <c r="D104" s="399">
        <v>64.25</v>
      </c>
      <c r="E104" s="399">
        <v>58.47</v>
      </c>
      <c r="F104" s="399">
        <v>64.59</v>
      </c>
      <c r="G104" s="399">
        <v>66.77</v>
      </c>
      <c r="H104" s="399">
        <v>75.260000000000005</v>
      </c>
      <c r="I104" s="399">
        <v>69.73</v>
      </c>
      <c r="J104" s="399">
        <v>67.69</v>
      </c>
      <c r="K104" s="399">
        <v>56.68</v>
      </c>
      <c r="L104" s="399">
        <v>43.68</v>
      </c>
      <c r="M104" s="399">
        <v>58.23</v>
      </c>
      <c r="N104" s="399">
        <v>0</v>
      </c>
      <c r="O104" s="399">
        <v>62.29</v>
      </c>
      <c r="P104" s="399">
        <v>53.8</v>
      </c>
      <c r="Q104" s="520">
        <v>66.89</v>
      </c>
      <c r="R104" s="520">
        <v>65.790000000000006</v>
      </c>
      <c r="S104" s="521">
        <v>65.81</v>
      </c>
    </row>
    <row r="105" spans="1:19" ht="25.5">
      <c r="A105" s="404"/>
      <c r="B105" s="405" t="s">
        <v>108</v>
      </c>
      <c r="C105" s="406"/>
      <c r="D105" s="399">
        <v>102025</v>
      </c>
      <c r="E105" s="399">
        <v>268451</v>
      </c>
      <c r="F105" s="399">
        <v>127235</v>
      </c>
      <c r="G105" s="399">
        <v>83525</v>
      </c>
      <c r="H105" s="399">
        <v>105531</v>
      </c>
      <c r="I105" s="399">
        <v>39206</v>
      </c>
      <c r="J105" s="399">
        <v>44127</v>
      </c>
      <c r="K105" s="399">
        <v>67061</v>
      </c>
      <c r="L105" s="399">
        <v>104935</v>
      </c>
      <c r="M105" s="399">
        <v>181979</v>
      </c>
      <c r="N105" s="399">
        <v>0</v>
      </c>
      <c r="O105" s="399">
        <v>109666</v>
      </c>
      <c r="P105" s="399">
        <v>79774</v>
      </c>
      <c r="Q105" s="388">
        <f>SUM(D105:P105)</f>
        <v>1313515</v>
      </c>
      <c r="R105" s="388">
        <v>1212975</v>
      </c>
      <c r="S105" s="456">
        <v>797929</v>
      </c>
    </row>
    <row r="106" spans="1:19" ht="25.5">
      <c r="A106" s="404"/>
      <c r="B106" s="405" t="s">
        <v>109</v>
      </c>
      <c r="C106" s="406"/>
      <c r="D106" s="388">
        <f>D105/C5</f>
        <v>3291.1290322580644</v>
      </c>
      <c r="E106" s="388">
        <f>E105/C5</f>
        <v>8659.7096774193542</v>
      </c>
      <c r="F106" s="388">
        <f>F105/C5</f>
        <v>4104.3548387096771</v>
      </c>
      <c r="G106" s="388">
        <f>G105/C5</f>
        <v>2694.3548387096776</v>
      </c>
      <c r="H106" s="388">
        <f>H105/C5</f>
        <v>3404.2258064516127</v>
      </c>
      <c r="I106" s="388">
        <f>I105/C5</f>
        <v>1264.7096774193549</v>
      </c>
      <c r="J106" s="388">
        <f>J105/C5</f>
        <v>1423.4516129032259</v>
      </c>
      <c r="K106" s="388">
        <f>K105/C5</f>
        <v>2163.2580645161293</v>
      </c>
      <c r="L106" s="388">
        <f>L105/C5</f>
        <v>3385</v>
      </c>
      <c r="M106" s="388">
        <f>M105/C5</f>
        <v>5870.2903225806449</v>
      </c>
      <c r="N106" s="388">
        <f>N105/C5</f>
        <v>0</v>
      </c>
      <c r="O106" s="388">
        <f>O105/C5</f>
        <v>3537.6129032258063</v>
      </c>
      <c r="P106" s="388">
        <f>P105/C5</f>
        <v>2573.3548387096776</v>
      </c>
      <c r="Q106" s="388">
        <f>Q105/C5</f>
        <v>42371.451612903227</v>
      </c>
      <c r="R106" s="388">
        <v>40432.5</v>
      </c>
      <c r="S106" s="456">
        <v>25739.645161290322</v>
      </c>
    </row>
    <row r="107" spans="1:19" s="435" customFormat="1" ht="25.5">
      <c r="A107" s="647"/>
      <c r="B107" s="588" t="s">
        <v>110</v>
      </c>
      <c r="C107" s="648"/>
      <c r="D107" s="399">
        <v>67.2</v>
      </c>
      <c r="E107" s="399">
        <v>75.290000000000006</v>
      </c>
      <c r="F107" s="399">
        <v>65.319999999999993</v>
      </c>
      <c r="G107" s="399">
        <v>56.86</v>
      </c>
      <c r="H107" s="399">
        <v>69.02</v>
      </c>
      <c r="I107" s="399">
        <v>62.84</v>
      </c>
      <c r="J107" s="399">
        <v>62.57</v>
      </c>
      <c r="K107" s="399">
        <v>69.16</v>
      </c>
      <c r="L107" s="399">
        <v>76.14</v>
      </c>
      <c r="M107" s="523">
        <v>75.8</v>
      </c>
      <c r="N107" s="399">
        <v>0</v>
      </c>
      <c r="O107" s="399">
        <v>74.03</v>
      </c>
      <c r="P107" s="399">
        <v>79.94</v>
      </c>
      <c r="Q107" s="546">
        <v>70.91</v>
      </c>
      <c r="R107" s="546">
        <v>69</v>
      </c>
      <c r="S107" s="547">
        <v>76.48</v>
      </c>
    </row>
    <row r="108" spans="1:19" s="438" customFormat="1">
      <c r="A108" s="620">
        <v>26</v>
      </c>
      <c r="B108" s="621" t="s">
        <v>111</v>
      </c>
      <c r="C108" s="640"/>
      <c r="D108" s="548">
        <f>SUM(D48/D102)</f>
        <v>3.2773488985125212</v>
      </c>
      <c r="E108" s="548">
        <f>SUM(E48/E102)</f>
        <v>4.1255517023959642</v>
      </c>
      <c r="F108" s="548">
        <f t="shared" ref="F108:O108" si="38">SUM(F48/F102)</f>
        <v>3.0838873423939743</v>
      </c>
      <c r="G108" s="548">
        <f t="shared" si="38"/>
        <v>2.8946142879771899</v>
      </c>
      <c r="H108" s="548">
        <f t="shared" si="38"/>
        <v>3.0552918247029996</v>
      </c>
      <c r="I108" s="548">
        <f t="shared" si="38"/>
        <v>3.0913989922354617</v>
      </c>
      <c r="J108" s="548">
        <f t="shared" si="38"/>
        <v>2.7630423072141879</v>
      </c>
      <c r="K108" s="548">
        <f t="shared" si="38"/>
        <v>4.1247991430101765</v>
      </c>
      <c r="L108" s="548">
        <f t="shared" si="38"/>
        <v>3.308714918759232</v>
      </c>
      <c r="M108" s="548">
        <f t="shared" si="38"/>
        <v>4.0939231228159887</v>
      </c>
      <c r="N108" s="548" t="e">
        <f t="shared" si="38"/>
        <v>#DIV/0!</v>
      </c>
      <c r="O108" s="548">
        <f t="shared" si="38"/>
        <v>3.530997703873787</v>
      </c>
      <c r="P108" s="548">
        <f>SUM(P48/P102)</f>
        <v>4.0348774495115958</v>
      </c>
      <c r="Q108" s="548">
        <f>SUM(Q48/Q102)</f>
        <v>3.1692253684835876</v>
      </c>
      <c r="R108" s="548">
        <v>3.1655410325159177</v>
      </c>
      <c r="S108" s="549">
        <v>3.299610399961741</v>
      </c>
    </row>
    <row r="109" spans="1:19" s="438" customFormat="1">
      <c r="A109" s="404"/>
      <c r="B109" s="588" t="s">
        <v>112</v>
      </c>
      <c r="C109" s="406"/>
      <c r="D109" s="520">
        <f t="shared" ref="D109:Q109" si="39">SUM(D49/D105)</f>
        <v>3.132251899044352</v>
      </c>
      <c r="E109" s="520">
        <f t="shared" si="39"/>
        <v>3.2112005542910995</v>
      </c>
      <c r="F109" s="520">
        <f t="shared" si="39"/>
        <v>3.0414429991747554</v>
      </c>
      <c r="G109" s="520">
        <f t="shared" si="39"/>
        <v>3.4202454354983538</v>
      </c>
      <c r="H109" s="520">
        <f t="shared" si="39"/>
        <v>3.3516123224455372</v>
      </c>
      <c r="I109" s="520">
        <f t="shared" si="39"/>
        <v>3.4415905728714993</v>
      </c>
      <c r="J109" s="520">
        <f t="shared" si="39"/>
        <v>2.978357921453985</v>
      </c>
      <c r="K109" s="520">
        <f t="shared" si="39"/>
        <v>3.4084490240229046</v>
      </c>
      <c r="L109" s="520">
        <f t="shared" si="39"/>
        <v>3.5113832372421023</v>
      </c>
      <c r="M109" s="520">
        <f t="shared" si="39"/>
        <v>3.2570736183845388</v>
      </c>
      <c r="N109" s="520" t="e">
        <f t="shared" si="39"/>
        <v>#DIV/0!</v>
      </c>
      <c r="O109" s="520">
        <f t="shared" si="39"/>
        <v>2.8784673463060564</v>
      </c>
      <c r="P109" s="520">
        <f>SUM(P49/P105)</f>
        <v>2.7705267380349485</v>
      </c>
      <c r="Q109" s="520">
        <f t="shared" si="39"/>
        <v>3.1981165041891413</v>
      </c>
      <c r="R109" s="520">
        <v>3.2042927512933077</v>
      </c>
      <c r="S109" s="521">
        <v>2.8588834344910388</v>
      </c>
    </row>
    <row r="110" spans="1:19" s="438" customFormat="1" ht="25.5">
      <c r="A110" s="594">
        <v>27</v>
      </c>
      <c r="B110" s="588" t="s">
        <v>113</v>
      </c>
      <c r="C110" s="649"/>
      <c r="D110" s="399">
        <v>1262</v>
      </c>
      <c r="E110" s="399">
        <v>698</v>
      </c>
      <c r="F110" s="399">
        <v>1134</v>
      </c>
      <c r="G110" s="399">
        <v>700</v>
      </c>
      <c r="H110" s="399">
        <v>724</v>
      </c>
      <c r="I110" s="399">
        <v>307</v>
      </c>
      <c r="J110" s="399">
        <v>747</v>
      </c>
      <c r="K110" s="399">
        <v>214</v>
      </c>
      <c r="L110" s="399">
        <v>85</v>
      </c>
      <c r="M110" s="399">
        <v>781</v>
      </c>
      <c r="N110" s="399">
        <v>0</v>
      </c>
      <c r="O110" s="399">
        <v>557</v>
      </c>
      <c r="P110" s="399">
        <v>603</v>
      </c>
      <c r="Q110" s="400">
        <f>SUM(D110:P110)</f>
        <v>7812</v>
      </c>
      <c r="R110" s="400">
        <v>7267</v>
      </c>
      <c r="S110" s="483">
        <v>10600</v>
      </c>
    </row>
    <row r="111" spans="1:19" s="438" customFormat="1" ht="25.5">
      <c r="A111" s="404"/>
      <c r="B111" s="588" t="s">
        <v>178</v>
      </c>
      <c r="C111" s="406"/>
      <c r="D111" s="551">
        <f t="shared" ref="D111:Q111" si="40">SUM(D110)/$C5</f>
        <v>40.70967741935484</v>
      </c>
      <c r="E111" s="551">
        <f t="shared" si="40"/>
        <v>22.516129032258064</v>
      </c>
      <c r="F111" s="551">
        <f t="shared" si="40"/>
        <v>36.58064516129032</v>
      </c>
      <c r="G111" s="551">
        <f t="shared" si="40"/>
        <v>22.580645161290324</v>
      </c>
      <c r="H111" s="551">
        <f t="shared" si="40"/>
        <v>23.35483870967742</v>
      </c>
      <c r="I111" s="551">
        <f t="shared" si="40"/>
        <v>9.9032258064516121</v>
      </c>
      <c r="J111" s="551">
        <f t="shared" si="40"/>
        <v>24.096774193548388</v>
      </c>
      <c r="K111" s="551">
        <f t="shared" si="40"/>
        <v>6.903225806451613</v>
      </c>
      <c r="L111" s="551">
        <f t="shared" si="40"/>
        <v>2.7419354838709675</v>
      </c>
      <c r="M111" s="551">
        <f t="shared" si="40"/>
        <v>25.193548387096776</v>
      </c>
      <c r="N111" s="551">
        <f t="shared" si="40"/>
        <v>0</v>
      </c>
      <c r="O111" s="551">
        <f t="shared" si="40"/>
        <v>17.967741935483872</v>
      </c>
      <c r="P111" s="551">
        <f t="shared" si="40"/>
        <v>19.451612903225808</v>
      </c>
      <c r="Q111" s="551">
        <f t="shared" si="40"/>
        <v>252</v>
      </c>
      <c r="R111" s="551">
        <v>242.23333333333332</v>
      </c>
      <c r="S111" s="552">
        <v>341.93548387096774</v>
      </c>
    </row>
    <row r="112" spans="1:19" s="438" customFormat="1">
      <c r="A112" s="404">
        <v>28</v>
      </c>
      <c r="B112" s="405" t="s">
        <v>115</v>
      </c>
      <c r="C112" s="633"/>
      <c r="D112" s="551">
        <f t="shared" ref="D112:Q112" si="41">SUM(D50/D110)</f>
        <v>584.24088748019017</v>
      </c>
      <c r="E112" s="551">
        <f t="shared" si="41"/>
        <v>1310.0214899713467</v>
      </c>
      <c r="F112" s="551">
        <f t="shared" si="41"/>
        <v>673.40740740740739</v>
      </c>
      <c r="G112" s="551">
        <f t="shared" si="41"/>
        <v>930.21428571428567</v>
      </c>
      <c r="H112" s="551">
        <f t="shared" si="41"/>
        <v>1010.3522099447514</v>
      </c>
      <c r="I112" s="551">
        <f t="shared" si="41"/>
        <v>1244.8794788273615</v>
      </c>
      <c r="J112" s="551">
        <f t="shared" si="41"/>
        <v>711.52476572958506</v>
      </c>
      <c r="K112" s="551">
        <f t="shared" si="41"/>
        <v>2219.6542056074768</v>
      </c>
      <c r="L112" s="551">
        <f t="shared" si="41"/>
        <v>4387.6117647058827</v>
      </c>
      <c r="M112" s="551">
        <f t="shared" si="41"/>
        <v>881.92957746478874</v>
      </c>
      <c r="N112" s="551" t="e">
        <f t="shared" si="41"/>
        <v>#DIV/0!</v>
      </c>
      <c r="O112" s="551">
        <f t="shared" si="41"/>
        <v>652.31956912028727</v>
      </c>
      <c r="P112" s="551">
        <f t="shared" si="41"/>
        <v>478.18573797678278</v>
      </c>
      <c r="Q112" s="551">
        <f t="shared" si="41"/>
        <v>883.27073732718895</v>
      </c>
      <c r="R112" s="551">
        <v>890.80899958717487</v>
      </c>
      <c r="S112" s="553">
        <v>604.56575471698113</v>
      </c>
    </row>
    <row r="113" spans="1:19" s="438" customFormat="1" ht="25.5">
      <c r="A113" s="404">
        <v>29</v>
      </c>
      <c r="B113" s="405" t="s">
        <v>116</v>
      </c>
      <c r="C113" s="633"/>
      <c r="D113" s="399">
        <v>14</v>
      </c>
      <c r="E113" s="399">
        <v>12</v>
      </c>
      <c r="F113" s="399">
        <v>7</v>
      </c>
      <c r="G113" s="399">
        <v>16</v>
      </c>
      <c r="H113" s="399">
        <v>9</v>
      </c>
      <c r="I113" s="399">
        <v>13</v>
      </c>
      <c r="J113" s="399">
        <v>12</v>
      </c>
      <c r="K113" s="399">
        <v>13</v>
      </c>
      <c r="L113" s="399">
        <v>15</v>
      </c>
      <c r="M113" s="399">
        <v>15</v>
      </c>
      <c r="N113" s="399">
        <v>0</v>
      </c>
      <c r="O113" s="399">
        <v>8</v>
      </c>
      <c r="P113" s="399">
        <v>13</v>
      </c>
      <c r="Q113" s="554">
        <f>SUM(D113:P113)</f>
        <v>147</v>
      </c>
      <c r="R113" s="554">
        <v>175</v>
      </c>
      <c r="S113" s="555">
        <v>180</v>
      </c>
    </row>
    <row r="114" spans="1:19" s="438" customFormat="1">
      <c r="A114" s="404">
        <v>30</v>
      </c>
      <c r="B114" s="405" t="s">
        <v>180</v>
      </c>
      <c r="C114" s="406"/>
      <c r="D114" s="454">
        <v>40308</v>
      </c>
      <c r="E114" s="454">
        <v>48808.166666666664</v>
      </c>
      <c r="F114" s="454">
        <v>51761.714285714283</v>
      </c>
      <c r="G114" s="454">
        <v>50932.5625</v>
      </c>
      <c r="H114" s="454">
        <v>66749.222222222219</v>
      </c>
      <c r="I114" s="454">
        <v>53304.461538461539</v>
      </c>
      <c r="J114" s="454">
        <v>56842.75</v>
      </c>
      <c r="K114" s="454">
        <v>39817.692307692305</v>
      </c>
      <c r="L114" s="454">
        <v>39367.333333333336</v>
      </c>
      <c r="M114" s="454">
        <v>57660.73333333333</v>
      </c>
      <c r="N114" s="454">
        <v>0</v>
      </c>
      <c r="O114" s="454">
        <v>63995</v>
      </c>
      <c r="P114" s="454">
        <v>49206.923076923078</v>
      </c>
      <c r="Q114" s="388">
        <v>50529.102040816324</v>
      </c>
      <c r="R114" s="388">
        <v>50046.554285714286</v>
      </c>
      <c r="S114" s="556">
        <v>45964.722222222219</v>
      </c>
    </row>
    <row r="115" spans="1:19" s="438" customFormat="1" ht="25.5">
      <c r="A115" s="616">
        <v>31</v>
      </c>
      <c r="B115" s="617" t="s">
        <v>118</v>
      </c>
      <c r="C115" s="648"/>
      <c r="D115" s="408">
        <v>14</v>
      </c>
      <c r="E115" s="408">
        <v>15</v>
      </c>
      <c r="F115" s="408">
        <v>13</v>
      </c>
      <c r="G115" s="408">
        <v>16</v>
      </c>
      <c r="H115" s="408">
        <v>33</v>
      </c>
      <c r="I115" s="408">
        <v>12</v>
      </c>
      <c r="J115" s="408">
        <v>19</v>
      </c>
      <c r="K115" s="408">
        <v>14</v>
      </c>
      <c r="L115" s="408">
        <v>15</v>
      </c>
      <c r="M115" s="408">
        <v>13</v>
      </c>
      <c r="N115" s="408">
        <v>0</v>
      </c>
      <c r="O115" s="408">
        <v>12</v>
      </c>
      <c r="P115" s="408">
        <v>15</v>
      </c>
      <c r="Q115" s="554">
        <f>SUM(D115:P115)</f>
        <v>191</v>
      </c>
      <c r="R115" s="554">
        <v>182</v>
      </c>
      <c r="S115" s="555">
        <v>228</v>
      </c>
    </row>
    <row r="116" spans="1:19" s="435" customFormat="1" ht="15" thickBot="1">
      <c r="A116" s="650">
        <v>32</v>
      </c>
      <c r="B116" s="630" t="s">
        <v>179</v>
      </c>
      <c r="C116" s="635"/>
      <c r="D116" s="651">
        <v>37200.857142857145</v>
      </c>
      <c r="E116" s="651">
        <v>39354.066666666666</v>
      </c>
      <c r="F116" s="651">
        <v>49972</v>
      </c>
      <c r="G116" s="651">
        <v>39793.75</v>
      </c>
      <c r="H116" s="651">
        <v>32733.090909090908</v>
      </c>
      <c r="I116" s="651">
        <v>42416.416666666664</v>
      </c>
      <c r="J116" s="651">
        <v>42727.210526315786</v>
      </c>
      <c r="K116" s="651">
        <v>38184.357142857145</v>
      </c>
      <c r="L116" s="651">
        <v>37152.666666666664</v>
      </c>
      <c r="M116" s="651">
        <v>31458.461538461539</v>
      </c>
      <c r="N116" s="651">
        <v>0</v>
      </c>
      <c r="O116" s="651">
        <v>31398.333333333332</v>
      </c>
      <c r="P116" s="651">
        <v>37385.066666666666</v>
      </c>
      <c r="Q116" s="558">
        <v>37889.277486910993</v>
      </c>
      <c r="R116" s="651">
        <v>38332.505494505494</v>
      </c>
      <c r="S116" s="652">
        <v>38665.780701754389</v>
      </c>
    </row>
    <row r="117" spans="1:19" s="435" customFormat="1" ht="15" thickTop="1">
      <c r="A117" s="677" t="s">
        <v>120</v>
      </c>
      <c r="B117" s="678"/>
      <c r="C117" s="644"/>
      <c r="D117" s="399"/>
      <c r="E117" s="399"/>
      <c r="F117" s="399"/>
      <c r="G117" s="399"/>
      <c r="H117" s="399"/>
      <c r="I117" s="399"/>
      <c r="J117" s="399" t="s">
        <v>121</v>
      </c>
      <c r="K117" s="399"/>
      <c r="L117" s="399"/>
      <c r="M117" s="399"/>
      <c r="N117" s="399"/>
      <c r="O117" s="399"/>
      <c r="P117" s="399"/>
      <c r="Q117" s="399"/>
      <c r="R117" s="399"/>
      <c r="S117" s="560"/>
    </row>
    <row r="118" spans="1:19" s="438" customFormat="1">
      <c r="A118" s="404">
        <v>33</v>
      </c>
      <c r="B118" s="613" t="s">
        <v>122</v>
      </c>
      <c r="C118" s="653" t="s">
        <v>123</v>
      </c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520"/>
      <c r="R118" s="520"/>
      <c r="S118" s="456"/>
    </row>
    <row r="119" spans="1:19" s="438" customFormat="1">
      <c r="A119" s="404"/>
      <c r="B119" s="405" t="s">
        <v>124</v>
      </c>
      <c r="C119" s="654">
        <v>1</v>
      </c>
      <c r="D119" s="401" t="s">
        <v>72</v>
      </c>
      <c r="E119" s="401" t="s">
        <v>72</v>
      </c>
      <c r="F119" s="401" t="s">
        <v>72</v>
      </c>
      <c r="G119" s="401" t="s">
        <v>72</v>
      </c>
      <c r="H119" s="401" t="s">
        <v>72</v>
      </c>
      <c r="I119" s="401" t="s">
        <v>72</v>
      </c>
      <c r="J119" s="401" t="s">
        <v>72</v>
      </c>
      <c r="K119" s="401" t="s">
        <v>72</v>
      </c>
      <c r="L119" s="401" t="s">
        <v>72</v>
      </c>
      <c r="M119" s="401" t="s">
        <v>72</v>
      </c>
      <c r="N119" s="401" t="s">
        <v>72</v>
      </c>
      <c r="O119" s="401" t="s">
        <v>72</v>
      </c>
      <c r="P119" s="401" t="s">
        <v>72</v>
      </c>
      <c r="Q119" s="520">
        <v>0.42905866302864937</v>
      </c>
      <c r="R119" s="520">
        <v>0.43789035392088826</v>
      </c>
      <c r="S119" s="521">
        <v>0.47429398986241855</v>
      </c>
    </row>
    <row r="120" spans="1:19" s="438" customFormat="1">
      <c r="A120" s="404"/>
      <c r="B120" s="405" t="s">
        <v>125</v>
      </c>
      <c r="C120" s="654">
        <v>6.5</v>
      </c>
      <c r="D120" s="401" t="s">
        <v>72</v>
      </c>
      <c r="E120" s="401" t="s">
        <v>72</v>
      </c>
      <c r="F120" s="401" t="s">
        <v>72</v>
      </c>
      <c r="G120" s="401" t="s">
        <v>72</v>
      </c>
      <c r="H120" s="401" t="s">
        <v>72</v>
      </c>
      <c r="I120" s="401" t="s">
        <v>72</v>
      </c>
      <c r="J120" s="401" t="s">
        <v>72</v>
      </c>
      <c r="K120" s="401" t="s">
        <v>72</v>
      </c>
      <c r="L120" s="401" t="s">
        <v>72</v>
      </c>
      <c r="M120" s="401" t="s">
        <v>72</v>
      </c>
      <c r="N120" s="401" t="s">
        <v>72</v>
      </c>
      <c r="O120" s="401" t="s">
        <v>72</v>
      </c>
      <c r="P120" s="401" t="s">
        <v>72</v>
      </c>
      <c r="Q120" s="520">
        <v>4.7912687585266029</v>
      </c>
      <c r="R120" s="520">
        <v>4.7772380291464263</v>
      </c>
      <c r="S120" s="521">
        <v>5.0065170166545983</v>
      </c>
    </row>
    <row r="121" spans="1:19" s="438" customFormat="1">
      <c r="A121" s="404"/>
      <c r="B121" s="405" t="s">
        <v>126</v>
      </c>
      <c r="C121" s="655">
        <v>1.5</v>
      </c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520">
        <v>0.91268758526603</v>
      </c>
      <c r="R121" s="520">
        <v>0.93060374739764051</v>
      </c>
      <c r="S121" s="521">
        <v>0.98913830557566984</v>
      </c>
    </row>
    <row r="122" spans="1:19" s="438" customFormat="1" ht="15">
      <c r="A122" s="616"/>
      <c r="B122" s="613" t="s">
        <v>127</v>
      </c>
      <c r="C122" s="656">
        <f>SUM(C119:C121)</f>
        <v>9</v>
      </c>
      <c r="D122" s="401" t="s">
        <v>72</v>
      </c>
      <c r="E122" s="401" t="s">
        <v>72</v>
      </c>
      <c r="F122" s="401" t="s">
        <v>72</v>
      </c>
      <c r="G122" s="401" t="s">
        <v>72</v>
      </c>
      <c r="H122" s="401" t="s">
        <v>72</v>
      </c>
      <c r="I122" s="401" t="s">
        <v>72</v>
      </c>
      <c r="J122" s="401" t="s">
        <v>72</v>
      </c>
      <c r="K122" s="401" t="s">
        <v>72</v>
      </c>
      <c r="L122" s="401" t="s">
        <v>72</v>
      </c>
      <c r="M122" s="401" t="s">
        <v>72</v>
      </c>
      <c r="N122" s="401" t="s">
        <v>72</v>
      </c>
      <c r="O122" s="401" t="s">
        <v>72</v>
      </c>
      <c r="P122" s="401" t="s">
        <v>72</v>
      </c>
      <c r="Q122" s="520">
        <f>SUM(Q119:Q121)</f>
        <v>6.1330150068212825</v>
      </c>
      <c r="R122" s="520">
        <v>6.145732130464955</v>
      </c>
      <c r="S122" s="521">
        <v>6.4699493120926874</v>
      </c>
    </row>
    <row r="123" spans="1:19" s="438" customFormat="1" ht="38.25">
      <c r="A123" s="594">
        <v>34</v>
      </c>
      <c r="B123" s="588" t="s">
        <v>128</v>
      </c>
      <c r="C123" s="644"/>
      <c r="D123" s="400" t="s">
        <v>72</v>
      </c>
      <c r="E123" s="400" t="s">
        <v>72</v>
      </c>
      <c r="F123" s="400" t="s">
        <v>72</v>
      </c>
      <c r="G123" s="400" t="s">
        <v>72</v>
      </c>
      <c r="H123" s="400" t="s">
        <v>72</v>
      </c>
      <c r="I123" s="400" t="s">
        <v>72</v>
      </c>
      <c r="J123" s="400" t="s">
        <v>72</v>
      </c>
      <c r="K123" s="400" t="s">
        <v>72</v>
      </c>
      <c r="L123" s="400" t="s">
        <v>72</v>
      </c>
      <c r="M123" s="400" t="s">
        <v>72</v>
      </c>
      <c r="N123" s="400" t="s">
        <v>72</v>
      </c>
      <c r="O123" s="400" t="s">
        <v>72</v>
      </c>
      <c r="P123" s="400" t="s">
        <v>72</v>
      </c>
      <c r="Q123" s="565">
        <v>1084.02</v>
      </c>
      <c r="R123" s="565">
        <v>1115.29</v>
      </c>
      <c r="S123" s="566">
        <v>1028.82</v>
      </c>
    </row>
    <row r="124" spans="1:19" s="438" customFormat="1" ht="25.5">
      <c r="A124" s="598">
        <v>35</v>
      </c>
      <c r="B124" s="599" t="s">
        <v>129</v>
      </c>
      <c r="C124" s="146">
        <v>92</v>
      </c>
      <c r="D124" s="399">
        <v>210</v>
      </c>
      <c r="E124" s="399">
        <v>226</v>
      </c>
      <c r="F124" s="399">
        <v>150</v>
      </c>
      <c r="G124" s="399">
        <v>65</v>
      </c>
      <c r="H124" s="399">
        <v>171</v>
      </c>
      <c r="I124" s="399">
        <v>60</v>
      </c>
      <c r="J124" s="399">
        <v>16</v>
      </c>
      <c r="K124" s="399">
        <v>122</v>
      </c>
      <c r="L124" s="399">
        <v>53</v>
      </c>
      <c r="M124" s="399">
        <v>144</v>
      </c>
      <c r="N124" s="399">
        <v>57</v>
      </c>
      <c r="O124" s="399">
        <v>39</v>
      </c>
      <c r="P124" s="399">
        <v>215</v>
      </c>
      <c r="Q124" s="554">
        <f>SUM(C124:P124)</f>
        <v>1620</v>
      </c>
      <c r="R124" s="554">
        <v>2590</v>
      </c>
      <c r="S124" s="476">
        <v>1501</v>
      </c>
    </row>
    <row r="125" spans="1:19" s="438" customFormat="1" ht="38.25">
      <c r="A125" s="620">
        <v>36</v>
      </c>
      <c r="B125" s="621" t="s">
        <v>130</v>
      </c>
      <c r="C125" s="657"/>
      <c r="D125" s="407" t="s">
        <v>72</v>
      </c>
      <c r="E125" s="407" t="s">
        <v>72</v>
      </c>
      <c r="F125" s="407" t="s">
        <v>72</v>
      </c>
      <c r="G125" s="407" t="s">
        <v>72</v>
      </c>
      <c r="H125" s="407" t="s">
        <v>72</v>
      </c>
      <c r="I125" s="407" t="s">
        <v>72</v>
      </c>
      <c r="J125" s="407" t="s">
        <v>72</v>
      </c>
      <c r="K125" s="407" t="s">
        <v>72</v>
      </c>
      <c r="L125" s="407" t="s">
        <v>72</v>
      </c>
      <c r="M125" s="407" t="s">
        <v>72</v>
      </c>
      <c r="N125" s="407" t="s">
        <v>72</v>
      </c>
      <c r="O125" s="407" t="s">
        <v>72</v>
      </c>
      <c r="P125" s="407" t="s">
        <v>72</v>
      </c>
      <c r="Q125" s="407">
        <v>1138</v>
      </c>
      <c r="R125" s="407">
        <v>1225</v>
      </c>
      <c r="S125" s="568">
        <v>1694</v>
      </c>
    </row>
    <row r="126" spans="1:19" s="438" customFormat="1">
      <c r="A126" s="594">
        <v>37</v>
      </c>
      <c r="B126" s="588" t="s">
        <v>131</v>
      </c>
      <c r="C126" s="595"/>
      <c r="D126" s="400" t="s">
        <v>72</v>
      </c>
      <c r="E126" s="400" t="s">
        <v>72</v>
      </c>
      <c r="F126" s="400" t="s">
        <v>72</v>
      </c>
      <c r="G126" s="400" t="s">
        <v>72</v>
      </c>
      <c r="H126" s="400" t="s">
        <v>72</v>
      </c>
      <c r="I126" s="400" t="s">
        <v>72</v>
      </c>
      <c r="J126" s="400" t="s">
        <v>72</v>
      </c>
      <c r="K126" s="400" t="s">
        <v>72</v>
      </c>
      <c r="L126" s="400" t="s">
        <v>72</v>
      </c>
      <c r="M126" s="400" t="s">
        <v>72</v>
      </c>
      <c r="N126" s="400" t="s">
        <v>72</v>
      </c>
      <c r="O126" s="400" t="s">
        <v>72</v>
      </c>
      <c r="P126" s="400" t="s">
        <v>72</v>
      </c>
      <c r="Q126" s="400">
        <v>318</v>
      </c>
      <c r="R126" s="400">
        <v>313</v>
      </c>
      <c r="S126" s="483">
        <v>317</v>
      </c>
    </row>
    <row r="127" spans="1:19" s="435" customFormat="1">
      <c r="A127" s="603"/>
      <c r="B127" s="599" t="s">
        <v>132</v>
      </c>
      <c r="C127" s="605"/>
      <c r="D127" s="146" t="s">
        <v>72</v>
      </c>
      <c r="E127" s="146" t="s">
        <v>72</v>
      </c>
      <c r="F127" s="146" t="s">
        <v>72</v>
      </c>
      <c r="G127" s="146" t="s">
        <v>72</v>
      </c>
      <c r="H127" s="146" t="s">
        <v>72</v>
      </c>
      <c r="I127" s="146" t="s">
        <v>72</v>
      </c>
      <c r="J127" s="146" t="s">
        <v>72</v>
      </c>
      <c r="K127" s="146" t="s">
        <v>72</v>
      </c>
      <c r="L127" s="146" t="s">
        <v>72</v>
      </c>
      <c r="M127" s="146" t="s">
        <v>72</v>
      </c>
      <c r="N127" s="146" t="s">
        <v>72</v>
      </c>
      <c r="O127" s="146" t="s">
        <v>72</v>
      </c>
      <c r="P127" s="146" t="s">
        <v>72</v>
      </c>
      <c r="Q127" s="461">
        <v>21.13</v>
      </c>
      <c r="R127" s="461">
        <v>21.09</v>
      </c>
      <c r="S127" s="462">
        <v>21.6</v>
      </c>
    </row>
    <row r="128" spans="1:19" s="435" customFormat="1">
      <c r="A128" s="587">
        <v>38</v>
      </c>
      <c r="B128" s="588" t="s">
        <v>133</v>
      </c>
      <c r="C128" s="596"/>
      <c r="D128" s="399" t="s">
        <v>72</v>
      </c>
      <c r="E128" s="399" t="s">
        <v>72</v>
      </c>
      <c r="F128" s="399" t="s">
        <v>72</v>
      </c>
      <c r="G128" s="399" t="s">
        <v>72</v>
      </c>
      <c r="H128" s="399" t="s">
        <v>72</v>
      </c>
      <c r="I128" s="399" t="s">
        <v>72</v>
      </c>
      <c r="J128" s="399" t="s">
        <v>72</v>
      </c>
      <c r="K128" s="399" t="s">
        <v>72</v>
      </c>
      <c r="L128" s="399" t="s">
        <v>72</v>
      </c>
      <c r="M128" s="399" t="s">
        <v>72</v>
      </c>
      <c r="N128" s="399" t="s">
        <v>72</v>
      </c>
      <c r="O128" s="399" t="s">
        <v>72</v>
      </c>
      <c r="P128" s="399" t="s">
        <v>72</v>
      </c>
      <c r="Q128" s="454">
        <v>477409535</v>
      </c>
      <c r="R128" s="454">
        <v>443566869</v>
      </c>
      <c r="S128" s="455">
        <v>452499660</v>
      </c>
    </row>
    <row r="129" spans="1:19" s="438" customFormat="1">
      <c r="A129" s="404"/>
      <c r="B129" s="405" t="s">
        <v>134</v>
      </c>
      <c r="C129" s="590"/>
      <c r="D129" s="401" t="s">
        <v>72</v>
      </c>
      <c r="E129" s="401" t="s">
        <v>72</v>
      </c>
      <c r="F129" s="401" t="s">
        <v>72</v>
      </c>
      <c r="G129" s="401" t="s">
        <v>72</v>
      </c>
      <c r="H129" s="401" t="s">
        <v>72</v>
      </c>
      <c r="I129" s="401" t="s">
        <v>72</v>
      </c>
      <c r="J129" s="401" t="s">
        <v>72</v>
      </c>
      <c r="K129" s="401" t="s">
        <v>72</v>
      </c>
      <c r="L129" s="401" t="s">
        <v>72</v>
      </c>
      <c r="M129" s="401" t="s">
        <v>72</v>
      </c>
      <c r="N129" s="401" t="s">
        <v>72</v>
      </c>
      <c r="O129" s="401" t="s">
        <v>72</v>
      </c>
      <c r="P129" s="401" t="s">
        <v>72</v>
      </c>
      <c r="Q129" s="388">
        <f>Q128/C5</f>
        <v>15400307.580645161</v>
      </c>
      <c r="R129" s="388">
        <v>14785562.300000001</v>
      </c>
      <c r="S129" s="456">
        <v>14596763.225806452</v>
      </c>
    </row>
    <row r="130" spans="1:19" s="435" customFormat="1">
      <c r="A130" s="627"/>
      <c r="B130" s="405" t="s">
        <v>135</v>
      </c>
      <c r="C130" s="628"/>
      <c r="D130" s="408" t="s">
        <v>72</v>
      </c>
      <c r="E130" s="408" t="s">
        <v>72</v>
      </c>
      <c r="F130" s="408" t="s">
        <v>72</v>
      </c>
      <c r="G130" s="408" t="s">
        <v>72</v>
      </c>
      <c r="H130" s="408" t="s">
        <v>72</v>
      </c>
      <c r="I130" s="408" t="s">
        <v>72</v>
      </c>
      <c r="J130" s="408" t="s">
        <v>72</v>
      </c>
      <c r="K130" s="408" t="s">
        <v>72</v>
      </c>
      <c r="L130" s="408" t="s">
        <v>72</v>
      </c>
      <c r="M130" s="408" t="s">
        <v>72</v>
      </c>
      <c r="N130" s="408" t="s">
        <v>72</v>
      </c>
      <c r="O130" s="408" t="s">
        <v>72</v>
      </c>
      <c r="P130" s="408" t="s">
        <v>72</v>
      </c>
      <c r="Q130" s="511">
        <f>SUM(Q129/Q132)</f>
        <v>13.269401011078143</v>
      </c>
      <c r="R130" s="511">
        <v>13.12740090898356</v>
      </c>
      <c r="S130" s="512">
        <v>13.779787202164522</v>
      </c>
    </row>
    <row r="131" spans="1:19" s="438" customFormat="1">
      <c r="A131" s="616"/>
      <c r="B131" s="617" t="s">
        <v>136</v>
      </c>
      <c r="C131" s="600"/>
      <c r="D131" s="399">
        <v>49.39</v>
      </c>
      <c r="E131" s="399">
        <v>45.88</v>
      </c>
      <c r="F131" s="399">
        <v>51.74</v>
      </c>
      <c r="G131" s="399">
        <v>58.13</v>
      </c>
      <c r="H131" s="399">
        <v>49.64</v>
      </c>
      <c r="I131" s="399">
        <v>54.07</v>
      </c>
      <c r="J131" s="399">
        <v>50.99</v>
      </c>
      <c r="K131" s="399">
        <v>42.22</v>
      </c>
      <c r="L131" s="399">
        <v>47.45</v>
      </c>
      <c r="M131" s="399">
        <v>41.76</v>
      </c>
      <c r="N131" s="399">
        <v>55.52</v>
      </c>
      <c r="O131" s="399">
        <v>48.05</v>
      </c>
      <c r="P131" s="399">
        <v>45.41</v>
      </c>
      <c r="Q131" s="492">
        <f>Q128/Q36</f>
        <v>49.038769437027888</v>
      </c>
      <c r="R131" s="492">
        <v>48.846753777344141</v>
      </c>
      <c r="S131" s="493">
        <v>50.928596141218968</v>
      </c>
    </row>
    <row r="132" spans="1:19" s="438" customFormat="1" ht="63.75">
      <c r="A132" s="620">
        <v>39</v>
      </c>
      <c r="B132" s="621" t="s">
        <v>137</v>
      </c>
      <c r="C132" s="657"/>
      <c r="D132" s="407" t="s">
        <v>72</v>
      </c>
      <c r="E132" s="407"/>
      <c r="F132" s="407" t="s">
        <v>72</v>
      </c>
      <c r="G132" s="407" t="s">
        <v>72</v>
      </c>
      <c r="H132" s="407" t="s">
        <v>72</v>
      </c>
      <c r="I132" s="407" t="s">
        <v>72</v>
      </c>
      <c r="J132" s="407" t="s">
        <v>72</v>
      </c>
      <c r="K132" s="407" t="s">
        <v>72</v>
      </c>
      <c r="L132" s="407" t="s">
        <v>72</v>
      </c>
      <c r="M132" s="407" t="s">
        <v>72</v>
      </c>
      <c r="N132" s="407" t="s">
        <v>121</v>
      </c>
      <c r="O132" s="407" t="s">
        <v>72</v>
      </c>
      <c r="P132" s="407" t="s">
        <v>72</v>
      </c>
      <c r="Q132" s="463">
        <v>1160588</v>
      </c>
      <c r="R132" s="463">
        <v>1126313</v>
      </c>
      <c r="S132" s="464">
        <v>1059288</v>
      </c>
    </row>
    <row r="133" spans="1:19" s="438" customFormat="1" ht="38.25">
      <c r="A133" s="404"/>
      <c r="B133" s="405" t="s">
        <v>138</v>
      </c>
      <c r="C133" s="628"/>
      <c r="D133" s="401" t="s">
        <v>72</v>
      </c>
      <c r="E133" s="401" t="s">
        <v>72</v>
      </c>
      <c r="F133" s="401" t="s">
        <v>72</v>
      </c>
      <c r="G133" s="401" t="s">
        <v>72</v>
      </c>
      <c r="H133" s="401" t="s">
        <v>72</v>
      </c>
      <c r="I133" s="401" t="s">
        <v>72</v>
      </c>
      <c r="J133" s="401" t="s">
        <v>72</v>
      </c>
      <c r="K133" s="401" t="s">
        <v>72</v>
      </c>
      <c r="L133" s="401" t="s">
        <v>72</v>
      </c>
      <c r="M133" s="401" t="s">
        <v>72</v>
      </c>
      <c r="N133" s="401" t="s">
        <v>72</v>
      </c>
      <c r="O133" s="401" t="s">
        <v>72</v>
      </c>
      <c r="P133" s="401" t="s">
        <v>72</v>
      </c>
      <c r="Q133" s="388">
        <f>SUM(Q132-Q67)</f>
        <v>286846.83870967745</v>
      </c>
      <c r="R133" s="388">
        <v>283161.59999999998</v>
      </c>
      <c r="S133" s="456">
        <v>249870.51612903213</v>
      </c>
    </row>
    <row r="134" spans="1:19" s="438" customFormat="1" ht="25.5">
      <c r="A134" s="404"/>
      <c r="B134" s="405" t="s">
        <v>139</v>
      </c>
      <c r="C134" s="628"/>
      <c r="D134" s="401" t="s">
        <v>72</v>
      </c>
      <c r="E134" s="401" t="s">
        <v>72</v>
      </c>
      <c r="F134" s="401" t="s">
        <v>72</v>
      </c>
      <c r="G134" s="401" t="s">
        <v>72</v>
      </c>
      <c r="H134" s="401" t="s">
        <v>72</v>
      </c>
      <c r="I134" s="401" t="s">
        <v>72</v>
      </c>
      <c r="J134" s="401" t="s">
        <v>72</v>
      </c>
      <c r="K134" s="401" t="s">
        <v>72</v>
      </c>
      <c r="L134" s="401" t="s">
        <v>72</v>
      </c>
      <c r="M134" s="401" t="s">
        <v>72</v>
      </c>
      <c r="N134" s="401" t="s">
        <v>72</v>
      </c>
      <c r="O134" s="401" t="s">
        <v>72</v>
      </c>
      <c r="P134" s="401" t="s">
        <v>72</v>
      </c>
      <c r="Q134" s="520">
        <f>SUM(Q133/Q132)*100</f>
        <v>24.715647474355883</v>
      </c>
      <c r="R134" s="520">
        <v>25.140578151899156</v>
      </c>
      <c r="S134" s="521">
        <v>23.588534575019459</v>
      </c>
    </row>
    <row r="135" spans="1:19" s="435" customFormat="1" ht="25.5">
      <c r="A135" s="627"/>
      <c r="B135" s="405" t="s">
        <v>140</v>
      </c>
      <c r="C135" s="628"/>
      <c r="D135" s="401" t="s">
        <v>72</v>
      </c>
      <c r="E135" s="401" t="s">
        <v>72</v>
      </c>
      <c r="F135" s="401" t="s">
        <v>72</v>
      </c>
      <c r="G135" s="401" t="s">
        <v>72</v>
      </c>
      <c r="H135" s="401" t="s">
        <v>72</v>
      </c>
      <c r="I135" s="401" t="s">
        <v>72</v>
      </c>
      <c r="J135" s="401" t="s">
        <v>72</v>
      </c>
      <c r="K135" s="401" t="s">
        <v>72</v>
      </c>
      <c r="L135" s="401" t="s">
        <v>72</v>
      </c>
      <c r="M135" s="401" t="s">
        <v>72</v>
      </c>
      <c r="N135" s="401" t="s">
        <v>72</v>
      </c>
      <c r="O135" s="401" t="s">
        <v>72</v>
      </c>
      <c r="P135" s="401" t="s">
        <v>72</v>
      </c>
      <c r="Q135" s="511">
        <f>Q132/Q17</f>
        <v>791.66984993178721</v>
      </c>
      <c r="R135" s="511">
        <v>781.61901457321301</v>
      </c>
      <c r="S135" s="512">
        <v>767.04417089065896</v>
      </c>
    </row>
    <row r="136" spans="1:19" s="435" customFormat="1" ht="26.25" thickBot="1">
      <c r="A136" s="650"/>
      <c r="B136" s="630" t="s">
        <v>141</v>
      </c>
      <c r="C136" s="658"/>
      <c r="D136" s="402" t="s">
        <v>72</v>
      </c>
      <c r="E136" s="402" t="s">
        <v>72</v>
      </c>
      <c r="F136" s="402" t="s">
        <v>72</v>
      </c>
      <c r="G136" s="402" t="s">
        <v>72</v>
      </c>
      <c r="H136" s="402" t="s">
        <v>72</v>
      </c>
      <c r="I136" s="402" t="s">
        <v>72</v>
      </c>
      <c r="J136" s="402" t="s">
        <v>72</v>
      </c>
      <c r="K136" s="402" t="s">
        <v>72</v>
      </c>
      <c r="L136" s="402" t="s">
        <v>72</v>
      </c>
      <c r="M136" s="402" t="s">
        <v>72</v>
      </c>
      <c r="N136" s="402" t="s">
        <v>72</v>
      </c>
      <c r="O136" s="402" t="s">
        <v>72</v>
      </c>
      <c r="P136" s="402" t="s">
        <v>72</v>
      </c>
      <c r="Q136" s="570">
        <f>Q129/Q17</f>
        <v>10504.984707124939</v>
      </c>
      <c r="R136" s="570">
        <v>10260.626162387232</v>
      </c>
      <c r="S136" s="571">
        <v>10569.705449533998</v>
      </c>
    </row>
    <row r="137" spans="1:19" ht="27" customHeight="1" thickTop="1">
      <c r="A137" s="572"/>
      <c r="C137" s="373"/>
      <c r="S137" s="376"/>
    </row>
    <row r="138" spans="1:19" ht="12.75">
      <c r="A138" s="572"/>
      <c r="C138" s="373"/>
      <c r="D138" s="373"/>
      <c r="E138" s="373"/>
      <c r="F138" s="373"/>
      <c r="G138" s="373"/>
      <c r="H138" s="373"/>
      <c r="I138" s="373"/>
      <c r="J138" s="373"/>
      <c r="K138" s="409"/>
      <c r="L138" s="373"/>
      <c r="M138" s="373"/>
      <c r="N138" s="409"/>
      <c r="O138" s="373"/>
      <c r="P138" s="373"/>
      <c r="Q138" s="373"/>
      <c r="S138" s="376"/>
    </row>
    <row r="139" spans="1:19" ht="12.75">
      <c r="A139" s="572"/>
      <c r="C139" s="373"/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S139" s="376"/>
    </row>
    <row r="140" spans="1:19">
      <c r="A140" s="374"/>
      <c r="B140" s="574"/>
      <c r="C140" s="374"/>
      <c r="D140" s="374"/>
      <c r="E140" s="374"/>
      <c r="F140" s="374"/>
      <c r="G140" s="374"/>
      <c r="H140" s="374"/>
      <c r="I140" s="374"/>
      <c r="J140" s="374"/>
      <c r="K140" s="409"/>
      <c r="N140" s="409"/>
      <c r="O140" s="373"/>
      <c r="P140" s="373"/>
      <c r="Q140" s="575"/>
      <c r="R140" s="576"/>
      <c r="S140" s="376"/>
    </row>
    <row r="141" spans="1:19">
      <c r="A141" s="374"/>
      <c r="B141" s="574"/>
      <c r="C141" s="374"/>
      <c r="D141" s="374"/>
      <c r="E141" s="374"/>
      <c r="F141" s="374"/>
      <c r="G141" s="374"/>
      <c r="H141" s="374"/>
      <c r="I141" s="374"/>
      <c r="J141" s="374"/>
      <c r="K141" s="374"/>
      <c r="N141" s="373"/>
      <c r="O141" s="373"/>
      <c r="P141" s="373"/>
      <c r="Q141" s="575"/>
      <c r="R141" s="576"/>
      <c r="S141" s="376"/>
    </row>
    <row r="142" spans="1:19">
      <c r="A142" s="374"/>
      <c r="B142" s="574"/>
      <c r="C142" s="374"/>
      <c r="D142" s="374"/>
      <c r="E142" s="374"/>
      <c r="F142" s="374"/>
      <c r="G142" s="374"/>
      <c r="H142" s="374"/>
      <c r="I142" s="374"/>
      <c r="J142" s="374"/>
      <c r="K142" s="374"/>
      <c r="N142" s="373"/>
      <c r="O142" s="373"/>
      <c r="P142" s="373"/>
      <c r="Q142" s="373"/>
      <c r="R142" s="576"/>
      <c r="S142" s="376"/>
    </row>
    <row r="143" spans="1:19" s="578" customFormat="1" ht="16.5">
      <c r="A143" s="670" t="s">
        <v>215</v>
      </c>
      <c r="B143" s="670"/>
      <c r="C143" s="577"/>
      <c r="D143" s="577"/>
      <c r="E143" s="577"/>
      <c r="F143" s="577"/>
      <c r="G143" s="577"/>
      <c r="I143" s="375"/>
      <c r="J143" s="375"/>
      <c r="K143" s="375"/>
      <c r="L143" s="375"/>
      <c r="M143" s="671" t="s">
        <v>143</v>
      </c>
      <c r="N143" s="671"/>
      <c r="O143" s="671"/>
      <c r="P143" s="671"/>
      <c r="Q143" s="671"/>
      <c r="R143" s="671"/>
      <c r="S143" s="579"/>
    </row>
    <row r="144" spans="1:19" s="578" customFormat="1" ht="16.5">
      <c r="A144" s="670" t="s">
        <v>216</v>
      </c>
      <c r="B144" s="670"/>
      <c r="C144" s="577"/>
      <c r="D144" s="577"/>
      <c r="E144" s="577"/>
      <c r="F144" s="577"/>
      <c r="G144" s="577"/>
      <c r="I144" s="375"/>
      <c r="J144" s="375"/>
      <c r="K144" s="375"/>
      <c r="L144" s="375"/>
      <c r="M144" s="671" t="s">
        <v>144</v>
      </c>
      <c r="N144" s="671"/>
      <c r="O144" s="671"/>
      <c r="P144" s="671"/>
      <c r="Q144" s="671"/>
      <c r="R144" s="671"/>
    </row>
    <row r="145" spans="4:19">
      <c r="R145" s="580"/>
    </row>
    <row r="154" spans="4:19"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</row>
    <row r="158" spans="4:19" ht="12.75">
      <c r="S158" s="376"/>
    </row>
  </sheetData>
  <mergeCells count="8">
    <mergeCell ref="A144:B144"/>
    <mergeCell ref="M144:R144"/>
    <mergeCell ref="A1:S1"/>
    <mergeCell ref="A2:S2"/>
    <mergeCell ref="A3:S3"/>
    <mergeCell ref="A117:B117"/>
    <mergeCell ref="A143:B143"/>
    <mergeCell ref="M143:R143"/>
  </mergeCells>
  <pageMargins left="0.86614173228346458" right="0.15748031496062992" top="0.74803149606299213" bottom="0.74803149606299213" header="0.31496062992125984" footer="0.31496062992125984"/>
  <pageSetup paperSize="5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Apr19</vt:lpstr>
      <vt:lpstr>May19</vt:lpstr>
      <vt:lpstr>Jun19</vt:lpstr>
      <vt:lpstr>July19</vt:lpstr>
      <vt:lpstr>Aug19</vt:lpstr>
      <vt:lpstr>Sept19</vt:lpstr>
      <vt:lpstr>Oct.19</vt:lpstr>
      <vt:lpstr>Nov.19</vt:lpstr>
      <vt:lpstr>Dec19</vt:lpstr>
      <vt:lpstr>Jan20</vt:lpstr>
      <vt:lpstr>Feb.20</vt:lpstr>
      <vt:lpstr>Mar20</vt:lpstr>
      <vt:lpstr>'Apr19'!Print_Titles</vt:lpstr>
      <vt:lpstr>'Aug19'!Print_Titles</vt:lpstr>
      <vt:lpstr>Feb.20!Print_Titles</vt:lpstr>
      <vt:lpstr>'Jan20'!Print_Titles</vt:lpstr>
      <vt:lpstr>July19!Print_Titles</vt:lpstr>
      <vt:lpstr>'Jun19'!Print_Titles</vt:lpstr>
      <vt:lpstr>'May19'!Print_Titles</vt:lpstr>
      <vt:lpstr>Oct.19!Print_Titles</vt:lpstr>
      <vt:lpstr>Sept19!Print_Titles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2024-01-25T07:04:43Z</dcterms:modified>
</cp:coreProperties>
</file>